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46" activeTab="1"/>
  </bookViews>
  <sheets>
    <sheet name="equations" sheetId="1" r:id="rId1"/>
    <sheet name="Plot Single Doses" sheetId="2" r:id="rId2"/>
    <sheet name="Plot Multiple Dose 1" sheetId="3" r:id="rId3"/>
    <sheet name="Plot Multiple Dose 2" sheetId="4" r:id="rId4"/>
  </sheets>
  <definedNames>
    <definedName name="Excel_BuiltIn_Print_Area_2">'Plot Single Doses'!$B$1:$N$28</definedName>
    <definedName name="Excel_BuiltIn_Print_Area_3">'Plot Multiple Dose 1'!$A$1:$P$29</definedName>
    <definedName name="Excel_BuiltIn_Print_Area_4">'Plot Multiple Dose 2'!$A$1:$R$30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1" authorId="0">
      <text>
        <r>
          <rPr>
            <sz val="10"/>
            <color indexed="8"/>
            <rFont val="Times New Roman"/>
            <family val="1"/>
          </rPr>
          <t xml:space="preserve">Dose Interval
</t>
        </r>
      </text>
    </comment>
    <comment ref="B13" authorId="0">
      <text>
        <r>
          <rPr>
            <sz val="10"/>
            <color indexed="8"/>
            <rFont val="Times New Roman"/>
            <family val="1"/>
          </rPr>
          <t xml:space="preserve">Plasma concentration at
end of dose interval
</t>
        </r>
      </text>
    </comment>
    <comment ref="B21" authorId="0">
      <text>
        <r>
          <rPr>
            <sz val="10"/>
            <color indexed="8"/>
            <rFont val="Arial"/>
            <family val="2"/>
          </rPr>
          <t xml:space="preserve">Elimination rate constant
</t>
        </r>
      </text>
    </comment>
    <comment ref="B22" authorId="0">
      <text>
        <r>
          <rPr>
            <sz val="10"/>
            <color indexed="8"/>
            <rFont val="Arial"/>
            <family val="2"/>
          </rPr>
          <t>Absorption rate constant</t>
        </r>
      </text>
    </comment>
    <comment ref="B23" authorId="0">
      <text>
        <r>
          <rPr>
            <sz val="10"/>
            <color indexed="8"/>
            <rFont val="Times New Roman"/>
            <family val="1"/>
          </rPr>
          <t xml:space="preserve">Pseudo intercept for 
calculation of Cp
</t>
        </r>
      </text>
    </comment>
    <comment ref="B24" authorId="0">
      <text>
        <r>
          <rPr>
            <sz val="10"/>
            <color indexed="8"/>
            <rFont val="Times New Roman"/>
            <family val="1"/>
          </rPr>
          <t>Accumulation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1" authorId="0">
      <text>
        <r>
          <rPr>
            <sz val="10"/>
            <color indexed="8"/>
            <rFont val="Times New Roman"/>
            <family val="1"/>
          </rPr>
          <t xml:space="preserve">Dose Interval
</t>
        </r>
      </text>
    </comment>
    <comment ref="B13" authorId="0">
      <text>
        <r>
          <rPr>
            <sz val="10"/>
            <color indexed="8"/>
            <rFont val="Arial"/>
            <family val="2"/>
          </rPr>
          <t xml:space="preserve">Elimination rate constant
</t>
        </r>
      </text>
    </comment>
    <comment ref="B14" authorId="0">
      <text>
        <r>
          <rPr>
            <sz val="10"/>
            <color indexed="8"/>
            <rFont val="Arial"/>
            <family val="2"/>
          </rPr>
          <t>Absorption rate constant</t>
        </r>
      </text>
    </comment>
    <comment ref="B15" authorId="0">
      <text>
        <r>
          <rPr>
            <sz val="10"/>
            <color indexed="8"/>
            <rFont val="Times New Roman"/>
            <family val="1"/>
          </rPr>
          <t xml:space="preserve">Pseudo intercept for 
calculation of Cp
</t>
        </r>
      </text>
    </comment>
    <comment ref="B16" authorId="0">
      <text>
        <r>
          <rPr>
            <sz val="10"/>
            <color indexed="8"/>
            <rFont val="Times New Roman"/>
            <family val="1"/>
          </rPr>
          <t>Accumulation</t>
        </r>
      </text>
    </comment>
    <comment ref="B20" authorId="0">
      <text>
        <r>
          <rPr>
            <sz val="10"/>
            <color indexed="8"/>
            <rFont val="Times New Roman"/>
            <family val="1"/>
          </rPr>
          <t xml:space="preserve">Plasma concentration at
end of dose interval
</t>
        </r>
      </text>
    </comment>
  </commentList>
</comments>
</file>

<file path=xl/sharedStrings.xml><?xml version="1.0" encoding="utf-8"?>
<sst xmlns="http://schemas.openxmlformats.org/spreadsheetml/2006/main" count="369" uniqueCount="111">
  <si>
    <t>Cp = plasma concentration</t>
  </si>
  <si>
    <t>CL = Clearance</t>
  </si>
  <si>
    <t>Dosing rate = CL x Css</t>
  </si>
  <si>
    <t>CL = Dose/AUC</t>
  </si>
  <si>
    <t>Vd = amount of drug in body/Cp</t>
  </si>
  <si>
    <t>ke = CL/Vd</t>
  </si>
  <si>
    <t>ke = Ln(2)/t½</t>
  </si>
  <si>
    <t>AUC(0-inf) = AUC(0-last) + Clast/ke</t>
  </si>
  <si>
    <t>For bolus intravenous:</t>
  </si>
  <si>
    <t>Cp = (dose/Vd) x exp(-kt)</t>
  </si>
  <si>
    <t>AUC = D/CL</t>
  </si>
  <si>
    <t>For single-dose oral:</t>
  </si>
  <si>
    <t>A  =  (FD/Vd) x (ka/ka-ke)</t>
  </si>
  <si>
    <t>For multiple-dose oral:</t>
  </si>
  <si>
    <r>
      <t>Accumulation = 1/(1-e</t>
    </r>
    <r>
      <rPr>
        <vertAlign val="superscript"/>
        <sz val="12"/>
        <rFont val="Arial"/>
        <family val="2"/>
      </rPr>
      <t xml:space="preserve">(-ke x </t>
    </r>
    <r>
      <rPr>
        <vertAlign val="superscript"/>
        <sz val="12"/>
        <rFont val="Symbol"/>
        <family val="1"/>
      </rPr>
      <t>t</t>
    </r>
    <r>
      <rPr>
        <vertAlign val="superscript"/>
        <sz val="12"/>
        <rFont val="Arial"/>
        <family val="2"/>
      </rPr>
      <t>)</t>
    </r>
    <r>
      <rPr>
        <sz val="12"/>
        <rFont val="Arial"/>
        <family val="2"/>
      </rPr>
      <t>)</t>
    </r>
  </si>
  <si>
    <r>
      <t>Css,ave = (F x dose)/(CL x</t>
    </r>
    <r>
      <rPr>
        <sz val="12"/>
        <rFont val="Symbol"/>
        <family val="1"/>
      </rPr>
      <t xml:space="preserve"> t)</t>
    </r>
  </si>
  <si>
    <t>Enter data into shaded boxes, all other data are calculated</t>
  </si>
  <si>
    <t>Rat</t>
  </si>
  <si>
    <t>Dog</t>
  </si>
  <si>
    <t>BW =</t>
  </si>
  <si>
    <t>kg</t>
  </si>
  <si>
    <t>F =</t>
  </si>
  <si>
    <t>fraction</t>
  </si>
  <si>
    <t>Tmax =</t>
  </si>
  <si>
    <t>h</t>
  </si>
  <si>
    <t>CL =</t>
  </si>
  <si>
    <t>mL/min/kg</t>
  </si>
  <si>
    <t>Vd =</t>
  </si>
  <si>
    <t>L/kg</t>
  </si>
  <si>
    <t>dose =</t>
  </si>
  <si>
    <t>mg</t>
  </si>
  <si>
    <t>L</t>
  </si>
  <si>
    <t>mL/min</t>
  </si>
  <si>
    <t>L/h</t>
  </si>
  <si>
    <t>ke =</t>
  </si>
  <si>
    <r>
      <t>h</t>
    </r>
    <r>
      <rPr>
        <vertAlign val="superscript"/>
        <sz val="10"/>
        <rFont val="Arial"/>
        <family val="2"/>
      </rPr>
      <t>-1</t>
    </r>
  </si>
  <si>
    <t>estimated ka =</t>
  </si>
  <si>
    <t>ka/ke =</t>
  </si>
  <si>
    <t>ratio</t>
  </si>
  <si>
    <t>A =</t>
  </si>
  <si>
    <t>µg/mL</t>
  </si>
  <si>
    <t>t½ elim =</t>
  </si>
  <si>
    <t>Cmax =</t>
  </si>
  <si>
    <t>=</t>
  </si>
  <si>
    <t>ng/mL</t>
  </si>
  <si>
    <t>C24h =</t>
  </si>
  <si>
    <t>AUC(0-inf) =</t>
  </si>
  <si>
    <t>µg·h/mL</t>
  </si>
  <si>
    <t>Calculated values of Log(ka) from specified values of t½ and tmax using: tmax = 1/(ka-ke) x Ln(ka-ke)</t>
  </si>
  <si>
    <t>t½</t>
  </si>
  <si>
    <t>------&gt;</t>
  </si>
  <si>
    <t>ke</t>
  </si>
  <si>
    <t>tmax</t>
  </si>
  <si>
    <t>↓</t>
  </si>
  <si>
    <t xml:space="preserve">tmax = </t>
  </si>
  <si>
    <t>t½ =</t>
  </si>
  <si>
    <t>ke1 =</t>
  </si>
  <si>
    <t>ke2 =</t>
  </si>
  <si>
    <t>Index_1 =</t>
  </si>
  <si>
    <t>Index_2 =</t>
  </si>
  <si>
    <t>log(ka1) =</t>
  </si>
  <si>
    <t>log(ka2) =</t>
  </si>
  <si>
    <t>log(ka3) =</t>
  </si>
  <si>
    <t>log(ka4) =</t>
  </si>
  <si>
    <t>log(ke)</t>
  </si>
  <si>
    <t>log(ke1)</t>
  </si>
  <si>
    <t>log(ke2)</t>
  </si>
  <si>
    <t>slope_1</t>
  </si>
  <si>
    <t>slope_2</t>
  </si>
  <si>
    <t>Tmax1=</t>
  </si>
  <si>
    <t>Tmax2=</t>
  </si>
  <si>
    <t>slope_3</t>
  </si>
  <si>
    <t>slope_4</t>
  </si>
  <si>
    <t>slope_5</t>
  </si>
  <si>
    <t>log(ka) =</t>
  </si>
  <si>
    <t>ka</t>
  </si>
  <si>
    <t>Tmax</t>
  </si>
  <si>
    <t>Interval =</t>
  </si>
  <si>
    <t>Enter data in shaded boxes, all other data are calculated</t>
  </si>
  <si>
    <t>Tmax,0 must be in the range of 0.1 to 12 hours</t>
  </si>
  <si>
    <t>Elimination t½ must be in the range of 0.25 to 72 hours</t>
  </si>
  <si>
    <t>monkey</t>
  </si>
  <si>
    <t>rat</t>
  </si>
  <si>
    <t>Single Dose Values</t>
  </si>
  <si>
    <t>Cmax,0 =</t>
  </si>
  <si>
    <t>Tmax,0 =</t>
  </si>
  <si>
    <r>
      <t>t</t>
    </r>
    <r>
      <rPr>
        <sz val="10"/>
        <rFont val="Arial"/>
        <family val="2"/>
      </rPr>
      <t xml:space="preserve"> =</t>
    </r>
  </si>
  <si>
    <r>
      <t>C</t>
    </r>
    <r>
      <rPr>
        <sz val="10"/>
        <rFont val="Symbol"/>
        <family val="1"/>
      </rPr>
      <t>t</t>
    </r>
    <r>
      <rPr>
        <sz val="8"/>
        <rFont val="Symbol"/>
        <family val="1"/>
      </rPr>
      <t xml:space="preserve"> </t>
    </r>
    <r>
      <rPr>
        <sz val="10"/>
        <rFont val="Arial"/>
        <family val="2"/>
      </rPr>
      <t>=</t>
    </r>
  </si>
  <si>
    <r>
      <t>AUC(0-</t>
    </r>
    <r>
      <rPr>
        <sz val="10"/>
        <rFont val="Symbol"/>
        <family val="1"/>
      </rPr>
      <t>t</t>
    </r>
    <r>
      <rPr>
        <sz val="10"/>
        <rFont val="Arial"/>
        <family val="2"/>
      </rPr>
      <t>) =</t>
    </r>
  </si>
  <si>
    <t>Steady State Values</t>
  </si>
  <si>
    <t>Cmax,ss =</t>
  </si>
  <si>
    <t>Cmin,ss =</t>
  </si>
  <si>
    <t>Tmax,ss =</t>
  </si>
  <si>
    <t>Accumulation =</t>
  </si>
  <si>
    <t>Plot for Case 2</t>
  </si>
  <si>
    <t>zero</t>
  </si>
  <si>
    <t>T</t>
  </si>
  <si>
    <t>Plot for Case 1</t>
  </si>
  <si>
    <t>1-e^-ke*T</t>
  </si>
  <si>
    <t>1-e^-ka*T</t>
  </si>
  <si>
    <t>x</t>
  </si>
  <si>
    <t>BID dosing</t>
  </si>
  <si>
    <t>QD dosing</t>
  </si>
  <si>
    <r>
      <t xml:space="preserve">t </t>
    </r>
    <r>
      <rPr>
        <sz val="10"/>
        <rFont val="Arial"/>
        <family val="2"/>
      </rPr>
      <t>=</t>
    </r>
  </si>
  <si>
    <t>AUC(0-24) =</t>
  </si>
  <si>
    <r>
      <t>t</t>
    </r>
    <r>
      <rPr>
        <sz val="12"/>
        <rFont val="Arial"/>
        <family val="2"/>
      </rPr>
      <t xml:space="preserve"> = dose interval</t>
    </r>
  </si>
  <si>
    <r>
      <t xml:space="preserve">t½ </t>
    </r>
    <r>
      <rPr>
        <sz val="12"/>
        <rFont val="Symbol"/>
        <family val="1"/>
      </rPr>
      <t>»</t>
    </r>
    <r>
      <rPr>
        <sz val="12"/>
        <rFont val="Arial"/>
        <family val="2"/>
      </rPr>
      <t xml:space="preserve"> Ln(2) x Vd/CL</t>
    </r>
  </si>
  <si>
    <r>
      <t xml:space="preserve">AUC = F </t>
    </r>
    <r>
      <rPr>
        <sz val="12"/>
        <rFont val="Symbol"/>
        <family val="1"/>
      </rPr>
      <t xml:space="preserve">´ </t>
    </r>
    <r>
      <rPr>
        <sz val="12"/>
        <rFont val="Arial"/>
        <family val="2"/>
      </rPr>
      <t>D/CL</t>
    </r>
  </si>
  <si>
    <r>
      <t xml:space="preserve">Tmax,0 = (1/ka-ke) </t>
    </r>
    <r>
      <rPr>
        <sz val="12"/>
        <rFont val="Symbol"/>
        <family val="1"/>
      </rPr>
      <t>´</t>
    </r>
    <r>
      <rPr>
        <sz val="12"/>
        <rFont val="Arial"/>
        <family val="2"/>
      </rPr>
      <t xml:space="preserve"> Ln(ka/ke)</t>
    </r>
  </si>
  <si>
    <r>
      <t xml:space="preserve">Cp = A </t>
    </r>
    <r>
      <rPr>
        <sz val="12"/>
        <rFont val="Symbol"/>
        <family val="1"/>
      </rPr>
      <t xml:space="preserve">´ </t>
    </r>
    <r>
      <rPr>
        <sz val="12"/>
        <rFont val="Arial"/>
        <family val="2"/>
      </rPr>
      <t>(e</t>
    </r>
    <r>
      <rPr>
        <vertAlign val="superscript"/>
        <sz val="12"/>
        <rFont val="Arial"/>
        <family val="2"/>
      </rPr>
      <t xml:space="preserve">-ke </t>
    </r>
    <r>
      <rPr>
        <vertAlign val="superscript"/>
        <sz val="12"/>
        <rFont val="Symbol"/>
        <family val="1"/>
      </rPr>
      <t xml:space="preserve">´  </t>
    </r>
    <r>
      <rPr>
        <vertAlign val="superscript"/>
        <sz val="12"/>
        <rFont val="Arial"/>
        <family val="2"/>
      </rPr>
      <t>t</t>
    </r>
    <r>
      <rPr>
        <sz val="12"/>
        <rFont val="Arial"/>
        <family val="2"/>
      </rPr>
      <t xml:space="preserve"> - e</t>
    </r>
    <r>
      <rPr>
        <vertAlign val="superscript"/>
        <sz val="12"/>
        <rFont val="Arial"/>
        <family val="2"/>
      </rPr>
      <t xml:space="preserve">-ka </t>
    </r>
    <r>
      <rPr>
        <vertAlign val="superscript"/>
        <sz val="12"/>
        <rFont val="Symbol"/>
        <family val="1"/>
      </rPr>
      <t>´</t>
    </r>
    <r>
      <rPr>
        <vertAlign val="superscript"/>
        <sz val="12"/>
        <rFont val="Arial"/>
        <family val="2"/>
      </rPr>
      <t xml:space="preserve"> t</t>
    </r>
    <r>
      <rPr>
        <sz val="12"/>
        <rFont val="Arial"/>
        <family val="2"/>
      </rPr>
      <t>)</t>
    </r>
  </si>
  <si>
    <r>
      <t>Css,min = A x (e</t>
    </r>
    <r>
      <rPr>
        <vertAlign val="superscript"/>
        <sz val="12"/>
        <rFont val="Arial"/>
        <family val="2"/>
      </rPr>
      <t xml:space="preserve">-ke x </t>
    </r>
    <r>
      <rPr>
        <vertAlign val="superscript"/>
        <sz val="12"/>
        <rFont val="Symbol"/>
        <family val="1"/>
      </rPr>
      <t>t</t>
    </r>
    <r>
      <rPr>
        <sz val="12"/>
        <rFont val="Arial"/>
        <family val="2"/>
      </rPr>
      <t xml:space="preserve"> - e</t>
    </r>
    <r>
      <rPr>
        <vertAlign val="superscript"/>
        <sz val="12"/>
        <rFont val="Arial"/>
        <family val="2"/>
      </rPr>
      <t xml:space="preserve">-ka x </t>
    </r>
    <r>
      <rPr>
        <vertAlign val="superscript"/>
        <sz val="12"/>
        <rFont val="Symbol"/>
        <family val="1"/>
      </rPr>
      <t>t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</si>
</sst>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</numFmts>
  <fonts count="20">
    <font>
      <sz val="10"/>
      <name val="Arial"/>
      <family val="2"/>
    </font>
    <font>
      <sz val="12"/>
      <name val="Symbol"/>
      <family val="1"/>
    </font>
    <font>
      <sz val="10"/>
      <name val="Symbol"/>
      <family val="1"/>
    </font>
    <font>
      <b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name val="Symbol"/>
      <family val="1"/>
    </font>
    <font>
      <sz val="12"/>
      <name val="FreeSans"/>
      <family val="2"/>
    </font>
    <font>
      <vertAlign val="superscript"/>
      <sz val="10"/>
      <name val="Arial"/>
      <family val="2"/>
    </font>
    <font>
      <sz val="10"/>
      <name val="DejaVu Sans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10"/>
      <color indexed="8"/>
      <name val="Times New Roman"/>
      <family val="1"/>
    </font>
    <font>
      <sz val="8"/>
      <name val="Symbol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2" borderId="2" xfId="0" applyFill="1" applyBorder="1" applyAlignment="1">
      <alignment/>
    </xf>
    <xf numFmtId="0" fontId="0" fillId="0" borderId="4" xfId="0" applyFont="1" applyBorder="1" applyAlignment="1">
      <alignment horizontal="left" indent="1"/>
    </xf>
    <xf numFmtId="0" fontId="0" fillId="0" borderId="5" xfId="0" applyFont="1" applyBorder="1" applyAlignment="1">
      <alignment horizontal="right"/>
    </xf>
    <xf numFmtId="2" fontId="0" fillId="2" borderId="2" xfId="0" applyNumberFormat="1" applyFill="1" applyBorder="1" applyAlignment="1">
      <alignment/>
    </xf>
    <xf numFmtId="0" fontId="0" fillId="0" borderId="6" xfId="0" applyFont="1" applyBorder="1" applyAlignment="1">
      <alignment horizontal="left" indent="1"/>
    </xf>
    <xf numFmtId="164" fontId="0" fillId="2" borderId="2" xfId="0" applyNumberFormat="1" applyFill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left" indent="1"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9" xfId="0" applyFont="1" applyBorder="1" applyAlignment="1">
      <alignment horizontal="right" vertical="center"/>
    </xf>
    <xf numFmtId="2" fontId="0" fillId="0" borderId="10" xfId="0" applyNumberFormat="1" applyBorder="1" applyAlignment="1">
      <alignment vertical="center"/>
    </xf>
    <xf numFmtId="167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right"/>
    </xf>
    <xf numFmtId="0" fontId="0" fillId="0" borderId="14" xfId="0" applyFill="1" applyBorder="1" applyAlignment="1">
      <alignment/>
    </xf>
    <xf numFmtId="164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4" fontId="0" fillId="0" borderId="0" xfId="0" applyNumberFormat="1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64" fontId="0" fillId="0" borderId="18" xfId="0" applyNumberFormat="1" applyBorder="1" applyAlignment="1">
      <alignment/>
    </xf>
    <xf numFmtId="166" fontId="0" fillId="0" borderId="14" xfId="0" applyNumberFormat="1" applyBorder="1" applyAlignment="1">
      <alignment/>
    </xf>
    <xf numFmtId="164" fontId="0" fillId="0" borderId="19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20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164" fontId="3" fillId="2" borderId="2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1" fontId="0" fillId="2" borderId="2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3" xfId="0" applyFont="1" applyBorder="1" applyAlignment="1">
      <alignment horizontal="left" indent="1"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23" xfId="0" applyFont="1" applyBorder="1" applyAlignment="1">
      <alignment horizontal="right"/>
    </xf>
    <xf numFmtId="164" fontId="0" fillId="0" borderId="24" xfId="0" applyNumberFormat="1" applyFill="1" applyBorder="1" applyAlignment="1">
      <alignment/>
    </xf>
    <xf numFmtId="0" fontId="0" fillId="0" borderId="25" xfId="0" applyFont="1" applyBorder="1" applyAlignment="1">
      <alignment horizontal="left" indent="1"/>
    </xf>
    <xf numFmtId="11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Fill="1" applyAlignment="1">
      <alignment/>
    </xf>
    <xf numFmtId="0" fontId="0" fillId="0" borderId="26" xfId="0" applyBorder="1" applyAlignment="1">
      <alignment/>
    </xf>
    <xf numFmtId="164" fontId="3" fillId="2" borderId="2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4" xfId="0" applyFont="1" applyBorder="1" applyAlignment="1">
      <alignment horizontal="left" indent="1"/>
    </xf>
    <xf numFmtId="165" fontId="0" fillId="2" borderId="2" xfId="0" applyNumberFormat="1" applyFill="1" applyBorder="1" applyAlignment="1">
      <alignment/>
    </xf>
    <xf numFmtId="0" fontId="2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left" indent="1"/>
    </xf>
    <xf numFmtId="0" fontId="3" fillId="0" borderId="26" xfId="0" applyFont="1" applyBorder="1" applyAlignment="1">
      <alignment/>
    </xf>
    <xf numFmtId="166" fontId="0" fillId="0" borderId="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'Plot Single Doses'!$C$4</c:f>
              <c:strCache>
                <c:ptCount val="1"/>
                <c:pt idx="0">
                  <c:v>Rat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Single Doses'!$N$44:$N$283</c:f>
              <c:numCache/>
            </c:numRef>
          </c:xVal>
          <c:yVal>
            <c:numRef>
              <c:f>'Plot Single Doses'!$L$44:$L$283</c:f>
              <c:numCache/>
            </c:numRef>
          </c:yVal>
          <c:smooth val="1"/>
        </c:ser>
        <c:ser>
          <c:idx val="1"/>
          <c:order val="1"/>
          <c:tx>
            <c:strRef>
              <c:f>'Plot Single Doses'!$D$4</c:f>
              <c:strCache>
                <c:ptCount val="1"/>
                <c:pt idx="0">
                  <c:v>Dog</c:v>
                </c:pt>
              </c:strCache>
            </c:strRef>
          </c:tx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Single Doses'!$N$44:$N$283</c:f>
              <c:numCache/>
            </c:numRef>
          </c:xVal>
          <c:yVal>
            <c:numRef>
              <c:f>'Plot Single Doses'!$M$44:$M$283</c:f>
              <c:numCache/>
            </c:numRef>
          </c:yVal>
          <c:smooth val="1"/>
        </c:ser>
        <c:axId val="7567081"/>
        <c:axId val="994866"/>
      </c:scatterChart>
      <c:valAx>
        <c:axId val="756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866"/>
        <c:crosses val="autoZero"/>
        <c:crossBetween val="midCat"/>
        <c:dispUnits/>
      </c:valAx>
      <c:valAx>
        <c:axId val="99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Plasma Concentration (µg/mL)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7081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10225"/>
          <c:w val="0.89925"/>
          <c:h val="0.817"/>
        </c:manualLayout>
      </c:layout>
      <c:scatterChart>
        <c:scatterStyle val="line"/>
        <c:varyColors val="0"/>
        <c:ser>
          <c:idx val="0"/>
          <c:order val="0"/>
          <c:tx>
            <c:strRef>
              <c:f>'Plot Multiple Dose 1'!$C$6</c:f>
              <c:strCache>
                <c:ptCount val="1"/>
                <c:pt idx="0">
                  <c:v>monkey</c:v>
                </c:pt>
              </c:strCache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Multiple Dose 1'!$K$62:$K$158</c:f>
              <c:numCache/>
            </c:numRef>
          </c:xVal>
          <c:yVal>
            <c:numRef>
              <c:f>'Plot Multiple Dose 1'!$L$62:$L$158</c:f>
              <c:numCache/>
            </c:numRef>
          </c:yVal>
          <c:smooth val="0"/>
        </c:ser>
        <c:axId val="8953795"/>
        <c:axId val="13475292"/>
      </c:scatterChart>
      <c:valAx>
        <c:axId val="895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5292"/>
        <c:crosses val="autoZero"/>
        <c:crossBetween val="midCat"/>
        <c:dispUnits/>
      </c:valAx>
      <c:valAx>
        <c:axId val="134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µg/mL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379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>
        <c:manualLayout>
          <c:xMode val="edge"/>
          <c:yMode val="edge"/>
          <c:x val="0.129"/>
          <c:y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0225"/>
          <c:w val="0.934"/>
          <c:h val="0.84675"/>
        </c:manualLayout>
      </c:layout>
      <c:scatterChart>
        <c:scatterStyle val="line"/>
        <c:varyColors val="0"/>
        <c:ser>
          <c:idx val="0"/>
          <c:order val="0"/>
          <c:tx>
            <c:strRef>
              <c:f>'Plot Multiple Dose 1'!$D$6</c:f>
              <c:strCache>
                <c:ptCount val="1"/>
                <c:pt idx="0">
                  <c:v>rat</c:v>
                </c:pt>
              </c:strCache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'Plot Multiple Dose 1'!$AE$34:$AE$130,'Plot Multiple Dose 1'!$D$6</c:f>
              <c:strCache/>
            </c:strRef>
          </c:xVal>
          <c:yVal>
            <c:numRef>
              <c:f>'Plot Multiple Dose 1'!$AF$34:$AF$130</c:f>
              <c:numCache/>
            </c:numRef>
          </c:yVal>
          <c:smooth val="0"/>
        </c:ser>
        <c:axId val="54168765"/>
        <c:axId val="17756838"/>
      </c:scatterChart>
      <c:valAx>
        <c:axId val="5416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56838"/>
        <c:crosses val="autoZero"/>
        <c:crossBetween val="midCat"/>
        <c:dispUnits/>
      </c:valAx>
      <c:valAx>
        <c:axId val="1775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876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>
        <c:manualLayout>
          <c:xMode val="edge"/>
          <c:yMode val="edge"/>
          <c:x val="0.1265"/>
          <c:y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005"/>
          <c:w val="0.94725"/>
          <c:h val="0.82725"/>
        </c:manualLayout>
      </c:layout>
      <c:scatterChart>
        <c:scatterStyle val="line"/>
        <c:varyColors val="0"/>
        <c:ser>
          <c:idx val="0"/>
          <c:order val="0"/>
          <c:tx>
            <c:strRef>
              <c:f>'Plot Multiple Dose 2'!$C$4</c:f>
              <c:strCache>
                <c:ptCount val="1"/>
                <c:pt idx="0">
                  <c:v>BID dosing</c:v>
                </c:pt>
              </c:strCache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Multiple Dose 2'!$K$48:$K$144</c:f>
              <c:numCache/>
            </c:numRef>
          </c:xVal>
          <c:yVal>
            <c:numRef>
              <c:f>'Plot Multiple Dose 2'!$L$48:$L$144</c:f>
              <c:numCache/>
            </c:numRef>
          </c:yVal>
          <c:smooth val="0"/>
        </c:ser>
        <c:axId val="25593815"/>
        <c:axId val="29017744"/>
      </c:scatterChart>
      <c:valAx>
        <c:axId val="2559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17744"/>
        <c:crosses val="autoZero"/>
        <c:crossBetween val="midCat"/>
        <c:dispUnits/>
      </c:valAx>
      <c:valAx>
        <c:axId val="29017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ug/mL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381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88"/>
          <c:w val="0.939"/>
          <c:h val="0.8195"/>
        </c:manualLayout>
      </c:layout>
      <c:scatterChart>
        <c:scatterStyle val="line"/>
        <c:varyColors val="0"/>
        <c:ser>
          <c:idx val="0"/>
          <c:order val="0"/>
          <c:tx>
            <c:strRef>
              <c:f>'Plot Multiple Dose 2'!$D$4</c:f>
              <c:strCache>
                <c:ptCount val="1"/>
                <c:pt idx="0">
                  <c:v>QD dosing</c:v>
                </c:pt>
              </c:strCache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Multiple Dose 2'!$AA$48:$AA$144</c:f>
              <c:numCache/>
            </c:numRef>
          </c:xVal>
          <c:yVal>
            <c:numRef>
              <c:f>'Plot Multiple Dose 2'!$AB$48:$AB$144</c:f>
              <c:numCache/>
            </c:numRef>
          </c:yVal>
          <c:smooth val="0"/>
        </c:ser>
        <c:axId val="59833105"/>
        <c:axId val="1627034"/>
      </c:scatterChart>
      <c:valAx>
        <c:axId val="598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034"/>
        <c:crosses val="autoZero"/>
        <c:crossBetween val="midCat"/>
        <c:dispUnits/>
      </c:valAx>
      <c:valAx>
        <c:axId val="1627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ug/mL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310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015"/>
          <c:y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6</xdr:col>
      <xdr:colOff>381000</xdr:colOff>
      <xdr:row>30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362575"/>
          <a:ext cx="3324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6</xdr:col>
      <xdr:colOff>457200</xdr:colOff>
      <xdr:row>35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286500"/>
          <a:ext cx="3400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6</xdr:col>
      <xdr:colOff>495300</xdr:colOff>
      <xdr:row>41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7124700"/>
          <a:ext cx="3438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13</xdr:col>
      <xdr:colOff>457200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171825" y="485775"/>
        <a:ext cx="52959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66675</xdr:rowOff>
    </xdr:from>
    <xdr:to>
      <xdr:col>15</xdr:col>
      <xdr:colOff>142875</xdr:colOff>
      <xdr:row>14</xdr:row>
      <xdr:rowOff>85725</xdr:rowOff>
    </xdr:to>
    <xdr:graphicFrame>
      <xdr:nvGraphicFramePr>
        <xdr:cNvPr id="1" name="Chart 7"/>
        <xdr:cNvGraphicFramePr/>
      </xdr:nvGraphicFramePr>
      <xdr:xfrm>
        <a:off x="3419475" y="66675"/>
        <a:ext cx="51816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14</xdr:row>
      <xdr:rowOff>114300</xdr:rowOff>
    </xdr:from>
    <xdr:to>
      <xdr:col>15</xdr:col>
      <xdr:colOff>0</xdr:colOff>
      <xdr:row>28</xdr:row>
      <xdr:rowOff>133350</xdr:rowOff>
    </xdr:to>
    <xdr:graphicFrame>
      <xdr:nvGraphicFramePr>
        <xdr:cNvPr id="2" name="Chart 8"/>
        <xdr:cNvGraphicFramePr/>
      </xdr:nvGraphicFramePr>
      <xdr:xfrm>
        <a:off x="3324225" y="2419350"/>
        <a:ext cx="513397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15</xdr:col>
      <xdr:colOff>295275</xdr:colOff>
      <xdr:row>14</xdr:row>
      <xdr:rowOff>152400</xdr:rowOff>
    </xdr:to>
    <xdr:graphicFrame>
      <xdr:nvGraphicFramePr>
        <xdr:cNvPr id="1" name="Chart 7"/>
        <xdr:cNvGraphicFramePr/>
      </xdr:nvGraphicFramePr>
      <xdr:xfrm>
        <a:off x="3819525" y="0"/>
        <a:ext cx="5324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15</xdr:row>
      <xdr:rowOff>19050</xdr:rowOff>
    </xdr:from>
    <xdr:to>
      <xdr:col>15</xdr:col>
      <xdr:colOff>247650</xdr:colOff>
      <xdr:row>29</xdr:row>
      <xdr:rowOff>104775</xdr:rowOff>
    </xdr:to>
    <xdr:graphicFrame>
      <xdr:nvGraphicFramePr>
        <xdr:cNvPr id="2" name="Chart 8"/>
        <xdr:cNvGraphicFramePr/>
      </xdr:nvGraphicFramePr>
      <xdr:xfrm>
        <a:off x="3848100" y="2486025"/>
        <a:ext cx="5248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workbookViewId="0" topLeftCell="A16">
      <selection activeCell="C27" sqref="C27"/>
    </sheetView>
  </sheetViews>
  <sheetFormatPr defaultColWidth="9.140625" defaultRowHeight="12.75"/>
  <cols>
    <col min="2" max="2" width="5.7109375" style="0" customWidth="1"/>
    <col min="3" max="3" width="8.00390625" style="0" customWidth="1"/>
    <col min="4" max="4" width="10.7109375" style="0" customWidth="1"/>
    <col min="5" max="6" width="9.8515625" style="0" customWidth="1"/>
    <col min="7" max="7" width="8.00390625" style="0" customWidth="1"/>
    <col min="8" max="8" width="7.00390625" style="0" customWidth="1"/>
    <col min="9" max="9" width="9.8515625" style="0" customWidth="1"/>
    <col min="10" max="10" width="19.421875" style="0" customWidth="1"/>
    <col min="13" max="13" width="3.421875" style="0" customWidth="1"/>
  </cols>
  <sheetData>
    <row r="1" spans="1:2" ht="15">
      <c r="A1" s="8"/>
      <c r="B1" s="8"/>
    </row>
    <row r="2" spans="1:2" ht="15">
      <c r="A2" s="8"/>
      <c r="B2" s="8" t="s">
        <v>0</v>
      </c>
    </row>
    <row r="3" spans="1:2" ht="15.75">
      <c r="A3" s="8"/>
      <c r="B3" s="1" t="s">
        <v>105</v>
      </c>
    </row>
    <row r="4" spans="1:2" ht="15">
      <c r="A4" s="8"/>
      <c r="B4" s="8" t="s">
        <v>1</v>
      </c>
    </row>
    <row r="5" spans="1:2" ht="15">
      <c r="A5" s="8"/>
      <c r="B5" s="8" t="s">
        <v>2</v>
      </c>
    </row>
    <row r="6" spans="1:12" ht="15">
      <c r="A6" s="8"/>
      <c r="B6" s="8" t="s">
        <v>3</v>
      </c>
      <c r="L6" s="2"/>
    </row>
    <row r="7" spans="1:2" ht="15">
      <c r="A7" s="8"/>
      <c r="B7" s="8" t="s">
        <v>4</v>
      </c>
    </row>
    <row r="8" spans="1:2" ht="15">
      <c r="A8" s="8"/>
      <c r="B8" s="8" t="s">
        <v>5</v>
      </c>
    </row>
    <row r="9" spans="1:2" ht="15">
      <c r="A9" s="8"/>
      <c r="B9" s="8" t="s">
        <v>6</v>
      </c>
    </row>
    <row r="10" spans="1:2" ht="15.75">
      <c r="A10" s="8"/>
      <c r="B10" s="8" t="s">
        <v>106</v>
      </c>
    </row>
    <row r="11" spans="1:2" ht="15">
      <c r="A11" s="8"/>
      <c r="B11" s="8" t="s">
        <v>7</v>
      </c>
    </row>
    <row r="12" spans="1:2" ht="15">
      <c r="A12" s="8"/>
      <c r="B12" s="8"/>
    </row>
    <row r="13" spans="1:2" ht="15.75">
      <c r="A13" s="8"/>
      <c r="B13" s="109" t="s">
        <v>8</v>
      </c>
    </row>
    <row r="14" spans="1:3" ht="15">
      <c r="A14" s="8"/>
      <c r="B14" s="8"/>
      <c r="C14" s="8" t="s">
        <v>9</v>
      </c>
    </row>
    <row r="15" spans="1:3" ht="15">
      <c r="A15" s="8"/>
      <c r="B15" s="8"/>
      <c r="C15" s="8" t="s">
        <v>10</v>
      </c>
    </row>
    <row r="16" spans="1:2" ht="15">
      <c r="A16" s="8"/>
      <c r="B16" s="8"/>
    </row>
    <row r="17" spans="1:3" ht="15.75">
      <c r="A17" s="8"/>
      <c r="B17" s="109" t="s">
        <v>11</v>
      </c>
      <c r="C17" s="4"/>
    </row>
    <row r="18" spans="1:10" ht="15.75">
      <c r="A18" s="8"/>
      <c r="B18" s="8"/>
      <c r="C18" s="8" t="s">
        <v>108</v>
      </c>
      <c r="D18" s="5"/>
      <c r="E18" s="5"/>
      <c r="F18" s="6"/>
      <c r="G18" s="4"/>
      <c r="H18" s="6"/>
      <c r="I18" s="6"/>
      <c r="J18" s="6"/>
    </row>
    <row r="19" spans="1:6" ht="15">
      <c r="A19" s="8"/>
      <c r="B19" s="8"/>
      <c r="C19" s="8" t="s">
        <v>12</v>
      </c>
      <c r="D19" s="5"/>
      <c r="E19" s="5"/>
      <c r="F19" s="6"/>
    </row>
    <row r="20" spans="1:10" ht="18.75">
      <c r="A20" s="8"/>
      <c r="B20" s="8"/>
      <c r="C20" s="8" t="s">
        <v>109</v>
      </c>
      <c r="D20" s="5"/>
      <c r="E20" s="5"/>
      <c r="F20" s="6"/>
      <c r="G20" s="4"/>
      <c r="H20" s="6"/>
      <c r="I20" s="6"/>
      <c r="J20" s="6"/>
    </row>
    <row r="21" spans="1:6" ht="15.75">
      <c r="A21" s="8"/>
      <c r="B21" s="8"/>
      <c r="C21" s="8" t="s">
        <v>107</v>
      </c>
      <c r="D21" s="5"/>
      <c r="E21" s="5"/>
      <c r="F21" s="6"/>
    </row>
    <row r="22" spans="1:6" ht="15">
      <c r="A22" s="8"/>
      <c r="B22" s="8"/>
      <c r="D22" s="5"/>
      <c r="E22" s="5"/>
      <c r="F22" s="6"/>
    </row>
    <row r="23" spans="1:14" ht="15.75">
      <c r="A23" s="8"/>
      <c r="B23" s="109" t="s">
        <v>13</v>
      </c>
      <c r="D23" s="5"/>
      <c r="E23" s="5"/>
      <c r="F23" s="6"/>
      <c r="N23" s="7"/>
    </row>
    <row r="24" spans="2:14" ht="18.75">
      <c r="B24" s="3"/>
      <c r="C24" s="8" t="s">
        <v>14</v>
      </c>
      <c r="D24" s="5"/>
      <c r="E24" s="5"/>
      <c r="F24" s="6"/>
      <c r="N24" s="7"/>
    </row>
    <row r="25" spans="3:14" ht="15.75">
      <c r="C25" s="9" t="s">
        <v>15</v>
      </c>
      <c r="D25" s="5"/>
      <c r="E25" s="5"/>
      <c r="F25" s="6"/>
      <c r="G25" s="4"/>
      <c r="H25" s="6"/>
      <c r="I25" s="6"/>
      <c r="J25" s="6"/>
      <c r="L25" s="10"/>
      <c r="N25" s="7"/>
    </row>
    <row r="26" spans="3:14" s="8" customFormat="1" ht="18.75">
      <c r="C26" s="8" t="s">
        <v>110</v>
      </c>
      <c r="D26" s="11"/>
      <c r="E26" s="11"/>
      <c r="F26" s="12"/>
      <c r="L26" s="13"/>
      <c r="N26" s="14"/>
    </row>
    <row r="27" spans="3:14" s="8" customFormat="1" ht="15">
      <c r="C27"/>
      <c r="D27" s="11"/>
      <c r="E27" s="11"/>
      <c r="F27" s="12"/>
      <c r="L27" s="13"/>
      <c r="N27" s="14"/>
    </row>
    <row r="28" spans="4:14" s="8" customFormat="1" ht="15">
      <c r="D28" s="11"/>
      <c r="E28" s="11"/>
      <c r="F28" s="12"/>
      <c r="L28" s="13"/>
      <c r="N28" s="14"/>
    </row>
    <row r="29" spans="4:14" s="8" customFormat="1" ht="15">
      <c r="D29" s="11"/>
      <c r="E29" s="11"/>
      <c r="F29" s="12"/>
      <c r="L29" s="13"/>
      <c r="N29" s="14"/>
    </row>
    <row r="30" spans="4:14" s="8" customFormat="1" ht="15">
      <c r="D30" s="11"/>
      <c r="E30" s="11"/>
      <c r="F30" s="12"/>
      <c r="L30" s="13"/>
      <c r="N30" s="14"/>
    </row>
    <row r="31" spans="3:14" s="8" customFormat="1" ht="15">
      <c r="C31"/>
      <c r="D31" s="11"/>
      <c r="E31" s="11"/>
      <c r="F31" s="12"/>
      <c r="L31" s="13"/>
      <c r="N31" s="14"/>
    </row>
    <row r="32" spans="4:14" ht="12.75">
      <c r="D32" s="5"/>
      <c r="E32" s="5"/>
      <c r="F32" s="6"/>
      <c r="G32" s="4"/>
      <c r="H32" s="6"/>
      <c r="I32" s="6"/>
      <c r="J32" s="6"/>
      <c r="L32" s="10"/>
      <c r="N32" s="7"/>
    </row>
    <row r="33" spans="4:14" ht="12.75">
      <c r="D33" s="5"/>
      <c r="E33" s="5"/>
      <c r="F33" s="6"/>
      <c r="L33" s="10"/>
      <c r="N33" s="7"/>
    </row>
    <row r="34" spans="3:14" ht="15">
      <c r="C34" s="8"/>
      <c r="D34" s="15"/>
      <c r="E34" s="15"/>
      <c r="F34" s="16"/>
      <c r="L34" s="10"/>
      <c r="N34" s="7"/>
    </row>
    <row r="35" spans="3:14" ht="12.75">
      <c r="C35" s="7"/>
      <c r="D35" s="15"/>
      <c r="E35" s="15"/>
      <c r="F35" s="16"/>
      <c r="L35" s="10"/>
      <c r="N35" s="7"/>
    </row>
    <row r="36" spans="4:14" ht="12.75">
      <c r="D36" s="15"/>
      <c r="E36" s="17"/>
      <c r="F36" s="16"/>
      <c r="L36" s="10"/>
      <c r="N36" s="7"/>
    </row>
    <row r="37" spans="3:14" ht="12.75">
      <c r="C37" s="7"/>
      <c r="D37" s="15"/>
      <c r="E37" s="17"/>
      <c r="F37" s="16"/>
      <c r="L37" s="10"/>
      <c r="N37" s="7"/>
    </row>
    <row r="38" spans="3:14" ht="12.75">
      <c r="C38" s="7"/>
      <c r="D38" s="17"/>
      <c r="E38" s="17"/>
      <c r="F38" s="16"/>
      <c r="L38" s="10"/>
      <c r="N38" s="7"/>
    </row>
    <row r="39" spans="3:14" ht="12.75">
      <c r="C39" s="7"/>
      <c r="D39" s="17"/>
      <c r="E39" s="17"/>
      <c r="F39" s="16"/>
      <c r="L39" s="10"/>
      <c r="N39" s="7"/>
    </row>
    <row r="40" spans="3:14" ht="12.75">
      <c r="C40" s="7"/>
      <c r="D40" s="17"/>
      <c r="E40" s="17"/>
      <c r="F40" s="16"/>
      <c r="G40" s="4"/>
      <c r="H40" s="6"/>
      <c r="I40" s="6"/>
      <c r="J40" s="6"/>
      <c r="L40" s="10"/>
      <c r="N40" s="7"/>
    </row>
    <row r="41" spans="4:14" ht="12.75">
      <c r="D41" s="10"/>
      <c r="E41" s="10"/>
      <c r="L41" s="10"/>
      <c r="N41" s="7"/>
    </row>
    <row r="42" spans="3:10" ht="12.75">
      <c r="C42" s="7"/>
      <c r="D42" s="17"/>
      <c r="E42" s="17"/>
      <c r="F42" s="16"/>
      <c r="G42" s="4"/>
      <c r="H42" s="6"/>
      <c r="I42" s="6"/>
      <c r="J42" s="6"/>
    </row>
    <row r="43" spans="3:14" ht="12.75">
      <c r="C43" s="7"/>
      <c r="D43" s="17"/>
      <c r="E43" s="17"/>
      <c r="F43" s="16"/>
      <c r="J43" s="7"/>
      <c r="N43" s="7"/>
    </row>
    <row r="44" spans="3:14" ht="12.75">
      <c r="C44" s="7"/>
      <c r="D44" s="18"/>
      <c r="E44" s="18"/>
      <c r="J44" s="7"/>
      <c r="N44" s="7"/>
    </row>
    <row r="45" spans="3:5" ht="12.75">
      <c r="C45" s="7"/>
      <c r="D45" s="18"/>
      <c r="E45" s="18"/>
    </row>
    <row r="46" spans="3:5" ht="12.75">
      <c r="C46" s="7"/>
      <c r="D46" s="18"/>
      <c r="E46" s="18"/>
    </row>
    <row r="48" spans="3:8" ht="12.75">
      <c r="C48" s="7"/>
      <c r="D48" s="19"/>
      <c r="E48" s="19"/>
      <c r="F48" s="20"/>
      <c r="G48" s="20"/>
      <c r="H48" s="2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X288"/>
  <sheetViews>
    <sheetView showGridLines="0" tabSelected="1" workbookViewId="0" topLeftCell="A1">
      <selection activeCell="D28" sqref="D28"/>
    </sheetView>
  </sheetViews>
  <sheetFormatPr defaultColWidth="9.140625" defaultRowHeight="12.75"/>
  <cols>
    <col min="1" max="1" width="3.28125" style="0" customWidth="1"/>
    <col min="2" max="2" width="13.421875" style="0" customWidth="1"/>
    <col min="3" max="3" width="10.00390625" style="0" customWidth="1"/>
    <col min="4" max="4" width="8.8515625" style="0" customWidth="1"/>
    <col min="5" max="5" width="11.421875" style="0" customWidth="1"/>
  </cols>
  <sheetData>
    <row r="2" ht="12.75">
      <c r="B2" s="21" t="s">
        <v>16</v>
      </c>
    </row>
    <row r="4" spans="2:5" ht="12.75">
      <c r="B4" s="22"/>
      <c r="C4" s="23" t="s">
        <v>17</v>
      </c>
      <c r="D4" s="23" t="s">
        <v>18</v>
      </c>
      <c r="E4" s="22"/>
    </row>
    <row r="5" spans="2:5" ht="12.75">
      <c r="B5" s="24" t="s">
        <v>19</v>
      </c>
      <c r="C5" s="25">
        <v>0.15</v>
      </c>
      <c r="D5" s="25">
        <v>11</v>
      </c>
      <c r="E5" s="26" t="s">
        <v>20</v>
      </c>
    </row>
    <row r="6" spans="2:5" ht="12.75">
      <c r="B6" s="27" t="s">
        <v>21</v>
      </c>
      <c r="C6" s="28">
        <v>0.27</v>
      </c>
      <c r="D6" s="28">
        <v>0.43</v>
      </c>
      <c r="E6" s="29" t="s">
        <v>22</v>
      </c>
    </row>
    <row r="7" spans="2:5" ht="12.75">
      <c r="B7" s="27" t="s">
        <v>23</v>
      </c>
      <c r="C7" s="28">
        <v>2</v>
      </c>
      <c r="D7" s="28">
        <v>3</v>
      </c>
      <c r="E7" s="29" t="s">
        <v>24</v>
      </c>
    </row>
    <row r="8" spans="2:5" ht="12.75">
      <c r="B8" s="27" t="s">
        <v>25</v>
      </c>
      <c r="C8" s="30">
        <v>27</v>
      </c>
      <c r="D8" s="30">
        <v>8</v>
      </c>
      <c r="E8" s="29" t="s">
        <v>26</v>
      </c>
    </row>
    <row r="9" spans="2:5" ht="12.75">
      <c r="B9" s="27" t="s">
        <v>27</v>
      </c>
      <c r="C9" s="30">
        <v>2.6</v>
      </c>
      <c r="D9" s="30">
        <v>1.8</v>
      </c>
      <c r="E9" s="29" t="s">
        <v>28</v>
      </c>
    </row>
    <row r="10" spans="2:5" ht="12.75">
      <c r="B10" s="31" t="s">
        <v>29</v>
      </c>
      <c r="C10" s="25">
        <v>2.5</v>
      </c>
      <c r="D10" s="25">
        <f>D5*5</f>
        <v>55</v>
      </c>
      <c r="E10" s="32" t="s">
        <v>30</v>
      </c>
    </row>
    <row r="11" spans="2:5" ht="12.75">
      <c r="B11" s="27" t="s">
        <v>27</v>
      </c>
      <c r="C11" s="16">
        <f>C9*C5</f>
        <v>0.39</v>
      </c>
      <c r="D11" s="16">
        <f>D9*D5</f>
        <v>19.8</v>
      </c>
      <c r="E11" s="29" t="s">
        <v>31</v>
      </c>
    </row>
    <row r="12" spans="2:5" ht="12.75">
      <c r="B12" s="27" t="s">
        <v>25</v>
      </c>
      <c r="C12" s="33">
        <f>C8*C5</f>
        <v>4.05</v>
      </c>
      <c r="D12" s="33">
        <f>D8*D5</f>
        <v>88</v>
      </c>
      <c r="E12" s="29" t="s">
        <v>32</v>
      </c>
    </row>
    <row r="13" spans="2:5" ht="12.75">
      <c r="B13" s="27" t="s">
        <v>25</v>
      </c>
      <c r="C13" s="34">
        <f>C12*(60/1000)</f>
        <v>0.243</v>
      </c>
      <c r="D13" s="34">
        <f>D12*(6/100)</f>
        <v>5.279999999999999</v>
      </c>
      <c r="E13" s="29" t="s">
        <v>33</v>
      </c>
    </row>
    <row r="14" spans="2:5" ht="14.25">
      <c r="B14" s="27" t="s">
        <v>34</v>
      </c>
      <c r="C14" s="35">
        <f>C13/C11</f>
        <v>0.6230769230769231</v>
      </c>
      <c r="D14" s="35">
        <f>D13/D11</f>
        <v>0.2666666666666666</v>
      </c>
      <c r="E14" s="29" t="s">
        <v>35</v>
      </c>
    </row>
    <row r="15" spans="2:5" ht="14.25">
      <c r="B15" s="27" t="s">
        <v>36</v>
      </c>
      <c r="C15" s="35">
        <f>C91</f>
        <v>0.39408458226978044</v>
      </c>
      <c r="D15" s="35">
        <f>F91</f>
        <v>0.4102678629178423</v>
      </c>
      <c r="E15" s="29" t="s">
        <v>35</v>
      </c>
    </row>
    <row r="16" spans="2:5" ht="12.75">
      <c r="B16" s="27" t="s">
        <v>37</v>
      </c>
      <c r="C16" s="36">
        <f>C15/C14</f>
        <v>0.6324814283342155</v>
      </c>
      <c r="D16" s="36">
        <f>D15/D14</f>
        <v>1.5385044859419088</v>
      </c>
      <c r="E16" s="29" t="s">
        <v>38</v>
      </c>
    </row>
    <row r="17" spans="2:5" ht="12.75">
      <c r="B17" s="31" t="s">
        <v>39</v>
      </c>
      <c r="C17" s="37">
        <f>(C6*C10/C11)*(C15/(C15-C14))</f>
        <v>-2.978568920292057</v>
      </c>
      <c r="D17" s="37">
        <f>(D6*D10/D11)*(D15/(D15-D14))</f>
        <v>3.4125214997455116</v>
      </c>
      <c r="E17" s="32" t="s">
        <v>40</v>
      </c>
    </row>
    <row r="18" spans="2:5" ht="12.75">
      <c r="B18" s="27"/>
      <c r="E18" s="29"/>
    </row>
    <row r="19" spans="2:5" ht="12.75">
      <c r="B19" s="27" t="s">
        <v>41</v>
      </c>
      <c r="C19" s="38">
        <f>LN(2)/C14</f>
        <v>1.1124584379357148</v>
      </c>
      <c r="D19" s="38">
        <f>LN(2)/D14</f>
        <v>2.5993019270997952</v>
      </c>
      <c r="E19" s="29" t="s">
        <v>24</v>
      </c>
    </row>
    <row r="20" spans="2:5" ht="12.75">
      <c r="B20" s="27" t="s">
        <v>42</v>
      </c>
      <c r="C20" s="39">
        <f>C$17*((EXP(-C$14*C19))-(EXP(-C$15*C19)))</f>
        <v>0.43208893110966967</v>
      </c>
      <c r="D20" s="39">
        <f>D$17*((EXP(-D$14*D19))-(EXP(-D$15*D19)))</f>
        <v>0.5315271315618731</v>
      </c>
      <c r="E20" s="29" t="s">
        <v>40</v>
      </c>
    </row>
    <row r="21" spans="2:5" ht="12.75">
      <c r="B21" s="27" t="s">
        <v>43</v>
      </c>
      <c r="C21" s="40">
        <f>C20*1000</f>
        <v>432.08893110966966</v>
      </c>
      <c r="D21" s="40">
        <f>D20*1000</f>
        <v>531.5271315618731</v>
      </c>
      <c r="E21" s="29" t="s">
        <v>44</v>
      </c>
    </row>
    <row r="22" spans="2:5" ht="12.75">
      <c r="B22" s="27" t="s">
        <v>45</v>
      </c>
      <c r="C22" s="41">
        <f>C$17*((EXP(-C$14*24))-(EXP(-C$15*24)))</f>
        <v>0.00023155355615774321</v>
      </c>
      <c r="D22" s="41">
        <f>D$17*((EXP(-D$14*24))-(EXP(-D$15*24)))</f>
        <v>0.005489455002787219</v>
      </c>
      <c r="E22" s="29" t="s">
        <v>40</v>
      </c>
    </row>
    <row r="23" spans="2:5" ht="12.75">
      <c r="B23" s="27" t="s">
        <v>43</v>
      </c>
      <c r="C23" s="40">
        <f>C22*1000</f>
        <v>0.2315535561577432</v>
      </c>
      <c r="D23" s="40">
        <f>D22*1000</f>
        <v>5.489455002787219</v>
      </c>
      <c r="E23" s="29" t="s">
        <v>44</v>
      </c>
    </row>
    <row r="24" spans="2:75" ht="12.75">
      <c r="B24" s="42" t="s">
        <v>46</v>
      </c>
      <c r="C24" s="43">
        <f>C10*C6/C13</f>
        <v>2.777777777777778</v>
      </c>
      <c r="D24" s="43">
        <f>D10*D6/D13</f>
        <v>4.479166666666667</v>
      </c>
      <c r="E24" s="29" t="s">
        <v>47</v>
      </c>
      <c r="AT24" s="20"/>
      <c r="AU24" s="39"/>
      <c r="AV24" s="44"/>
      <c r="AW24" s="44"/>
      <c r="AX24" s="45" t="s">
        <v>48</v>
      </c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</row>
    <row r="25" spans="2:76" ht="12.75">
      <c r="B25" s="46"/>
      <c r="C25" s="46"/>
      <c r="D25" s="46"/>
      <c r="E25" s="47"/>
      <c r="AT25" s="7" t="s">
        <v>49</v>
      </c>
      <c r="AU25" t="s">
        <v>50</v>
      </c>
      <c r="AX25" s="48">
        <v>0.25</v>
      </c>
      <c r="AY25" s="48">
        <v>0.5</v>
      </c>
      <c r="AZ25" s="48">
        <v>1</v>
      </c>
      <c r="BA25" s="48">
        <v>1.5</v>
      </c>
      <c r="BB25" s="48">
        <v>2</v>
      </c>
      <c r="BC25" s="48">
        <v>2.5</v>
      </c>
      <c r="BD25" s="48">
        <v>3</v>
      </c>
      <c r="BE25" s="48">
        <v>4</v>
      </c>
      <c r="BF25" s="48">
        <v>5</v>
      </c>
      <c r="BG25" s="48">
        <v>6</v>
      </c>
      <c r="BH25" s="49">
        <v>7</v>
      </c>
      <c r="BI25" s="49">
        <v>8</v>
      </c>
      <c r="BJ25" s="48">
        <v>9</v>
      </c>
      <c r="BK25" s="48">
        <v>10</v>
      </c>
      <c r="BL25" s="48">
        <v>12</v>
      </c>
      <c r="BM25" s="48">
        <v>14</v>
      </c>
      <c r="BN25" s="48">
        <v>16</v>
      </c>
      <c r="BO25" s="48">
        <v>18</v>
      </c>
      <c r="BP25" s="48">
        <v>20</v>
      </c>
      <c r="BQ25" s="48">
        <v>24</v>
      </c>
      <c r="BR25" s="48">
        <f aca="true" t="shared" si="0" ref="BR25:BW25">BQ25+8</f>
        <v>32</v>
      </c>
      <c r="BS25" s="48">
        <f t="shared" si="0"/>
        <v>40</v>
      </c>
      <c r="BT25" s="48">
        <f t="shared" si="0"/>
        <v>48</v>
      </c>
      <c r="BU25" s="48">
        <f t="shared" si="0"/>
        <v>56</v>
      </c>
      <c r="BV25" s="48">
        <f t="shared" si="0"/>
        <v>64</v>
      </c>
      <c r="BW25" s="50">
        <f t="shared" si="0"/>
        <v>72</v>
      </c>
      <c r="BX25">
        <v>72</v>
      </c>
    </row>
    <row r="26" spans="2:76" ht="12.75">
      <c r="B26" s="21"/>
      <c r="C26" s="21"/>
      <c r="D26" s="21"/>
      <c r="AT26" s="7"/>
      <c r="AX26" s="48">
        <v>4</v>
      </c>
      <c r="AY26" s="48">
        <v>5</v>
      </c>
      <c r="AZ26" s="48">
        <v>6</v>
      </c>
      <c r="BA26" s="48">
        <v>7</v>
      </c>
      <c r="BB26" s="48">
        <v>8</v>
      </c>
      <c r="BC26" s="48">
        <v>9</v>
      </c>
      <c r="BD26" s="48">
        <v>10</v>
      </c>
      <c r="BE26" s="48">
        <f aca="true" t="shared" si="1" ref="BE26:BW26">BD26+1</f>
        <v>11</v>
      </c>
      <c r="BF26" s="48">
        <f t="shared" si="1"/>
        <v>12</v>
      </c>
      <c r="BG26" s="48">
        <f t="shared" si="1"/>
        <v>13</v>
      </c>
      <c r="BH26" s="49">
        <f t="shared" si="1"/>
        <v>14</v>
      </c>
      <c r="BI26" s="49">
        <f t="shared" si="1"/>
        <v>15</v>
      </c>
      <c r="BJ26" s="48">
        <f t="shared" si="1"/>
        <v>16</v>
      </c>
      <c r="BK26" s="48">
        <f t="shared" si="1"/>
        <v>17</v>
      </c>
      <c r="BL26" s="48">
        <f t="shared" si="1"/>
        <v>18</v>
      </c>
      <c r="BM26" s="48">
        <f t="shared" si="1"/>
        <v>19</v>
      </c>
      <c r="BN26" s="48">
        <f t="shared" si="1"/>
        <v>20</v>
      </c>
      <c r="BO26" s="48">
        <f t="shared" si="1"/>
        <v>21</v>
      </c>
      <c r="BP26" s="48">
        <f t="shared" si="1"/>
        <v>22</v>
      </c>
      <c r="BQ26" s="48">
        <f t="shared" si="1"/>
        <v>23</v>
      </c>
      <c r="BR26" s="48">
        <f t="shared" si="1"/>
        <v>24</v>
      </c>
      <c r="BS26" s="48">
        <f t="shared" si="1"/>
        <v>25</v>
      </c>
      <c r="BT26" s="48">
        <f t="shared" si="1"/>
        <v>26</v>
      </c>
      <c r="BU26" s="48">
        <f t="shared" si="1"/>
        <v>27</v>
      </c>
      <c r="BV26" s="48">
        <f t="shared" si="1"/>
        <v>28</v>
      </c>
      <c r="BW26" s="48">
        <f t="shared" si="1"/>
        <v>29</v>
      </c>
      <c r="BX26">
        <v>30</v>
      </c>
    </row>
    <row r="27" spans="2:76" ht="12.75">
      <c r="B27" s="21"/>
      <c r="C27" s="21"/>
      <c r="D27" s="21"/>
      <c r="AT27" s="7"/>
      <c r="AX27" s="48">
        <v>0.5</v>
      </c>
      <c r="AY27" s="48">
        <v>1</v>
      </c>
      <c r="AZ27" s="48">
        <v>1.5</v>
      </c>
      <c r="BA27" s="48">
        <v>2</v>
      </c>
      <c r="BB27" s="48">
        <v>2.5</v>
      </c>
      <c r="BC27" s="48">
        <v>3</v>
      </c>
      <c r="BD27" s="48">
        <v>4</v>
      </c>
      <c r="BE27" s="48">
        <v>5</v>
      </c>
      <c r="BF27" s="48">
        <v>6</v>
      </c>
      <c r="BG27" s="48">
        <v>7</v>
      </c>
      <c r="BH27" s="49">
        <v>8</v>
      </c>
      <c r="BI27" s="49">
        <v>9</v>
      </c>
      <c r="BJ27" s="48">
        <v>10</v>
      </c>
      <c r="BK27" s="48">
        <v>12</v>
      </c>
      <c r="BL27" s="48">
        <v>14</v>
      </c>
      <c r="BM27" s="48">
        <v>16</v>
      </c>
      <c r="BN27" s="48">
        <v>18</v>
      </c>
      <c r="BO27" s="48">
        <v>20</v>
      </c>
      <c r="BP27" s="48">
        <v>24</v>
      </c>
      <c r="BQ27" s="48">
        <f aca="true" t="shared" si="2" ref="BQ27:BV27">BP27+8</f>
        <v>32</v>
      </c>
      <c r="BR27" s="48">
        <f t="shared" si="2"/>
        <v>40</v>
      </c>
      <c r="BS27" s="48">
        <f t="shared" si="2"/>
        <v>48</v>
      </c>
      <c r="BT27" s="48">
        <f t="shared" si="2"/>
        <v>56</v>
      </c>
      <c r="BU27" s="48">
        <f t="shared" si="2"/>
        <v>64</v>
      </c>
      <c r="BV27" s="50">
        <f t="shared" si="2"/>
        <v>72</v>
      </c>
      <c r="BW27" s="50">
        <v>72</v>
      </c>
      <c r="BX27">
        <v>72</v>
      </c>
    </row>
    <row r="28" spans="2:76" ht="12.75">
      <c r="B28" s="21"/>
      <c r="C28" s="21"/>
      <c r="D28" s="21"/>
      <c r="AT28" s="51" t="s">
        <v>51</v>
      </c>
      <c r="AU28" s="45" t="s">
        <v>50</v>
      </c>
      <c r="AX28" s="48">
        <f aca="true" t="shared" si="3" ref="AX28:BX28">LN(2)/AX25</f>
        <v>2.772588722239781</v>
      </c>
      <c r="AY28" s="48">
        <f t="shared" si="3"/>
        <v>1.3862943611198906</v>
      </c>
      <c r="AZ28" s="48">
        <f t="shared" si="3"/>
        <v>0.6931471805599453</v>
      </c>
      <c r="BA28" s="48">
        <f t="shared" si="3"/>
        <v>0.46209812037329684</v>
      </c>
      <c r="BB28" s="48">
        <f t="shared" si="3"/>
        <v>0.34657359027997264</v>
      </c>
      <c r="BC28" s="48">
        <f t="shared" si="3"/>
        <v>0.2772588722239781</v>
      </c>
      <c r="BD28" s="52">
        <f t="shared" si="3"/>
        <v>0.23104906018664842</v>
      </c>
      <c r="BE28" s="52">
        <f t="shared" si="3"/>
        <v>0.17328679513998632</v>
      </c>
      <c r="BF28" s="52">
        <f t="shared" si="3"/>
        <v>0.13862943611198905</v>
      </c>
      <c r="BG28" s="52">
        <f t="shared" si="3"/>
        <v>0.11552453009332421</v>
      </c>
      <c r="BH28" s="53">
        <f t="shared" si="3"/>
        <v>0.09902102579427789</v>
      </c>
      <c r="BI28" s="53">
        <f t="shared" si="3"/>
        <v>0.08664339756999316</v>
      </c>
      <c r="BJ28" s="52">
        <f t="shared" si="3"/>
        <v>0.07701635339554948</v>
      </c>
      <c r="BK28" s="52">
        <f t="shared" si="3"/>
        <v>0.06931471805599453</v>
      </c>
      <c r="BL28" s="52">
        <f t="shared" si="3"/>
        <v>0.057762265046662105</v>
      </c>
      <c r="BM28" s="52">
        <f t="shared" si="3"/>
        <v>0.049510512897138946</v>
      </c>
      <c r="BN28" s="52">
        <f t="shared" si="3"/>
        <v>0.04332169878499658</v>
      </c>
      <c r="BO28" s="52">
        <f t="shared" si="3"/>
        <v>0.03850817669777474</v>
      </c>
      <c r="BP28" s="52">
        <f t="shared" si="3"/>
        <v>0.03465735902799726</v>
      </c>
      <c r="BQ28" s="52">
        <f t="shared" si="3"/>
        <v>0.028881132523331052</v>
      </c>
      <c r="BR28" s="52">
        <f t="shared" si="3"/>
        <v>0.02166084939249829</v>
      </c>
      <c r="BS28" s="52">
        <f t="shared" si="3"/>
        <v>0.01732867951399863</v>
      </c>
      <c r="BT28" s="52">
        <f t="shared" si="3"/>
        <v>0.014440566261665526</v>
      </c>
      <c r="BU28" s="52">
        <f t="shared" si="3"/>
        <v>0.012377628224284737</v>
      </c>
      <c r="BV28" s="52">
        <f t="shared" si="3"/>
        <v>0.010830424696249145</v>
      </c>
      <c r="BW28" s="52">
        <f t="shared" si="3"/>
        <v>0.009627044174443685</v>
      </c>
      <c r="BX28" s="52">
        <f t="shared" si="3"/>
        <v>0.009627044174443685</v>
      </c>
    </row>
    <row r="29" spans="2:76" ht="12.75">
      <c r="B29" s="21"/>
      <c r="C29" s="21"/>
      <c r="D29" s="21"/>
      <c r="AT29" s="7" t="s">
        <v>52</v>
      </c>
      <c r="AU29" s="54">
        <v>0.1</v>
      </c>
      <c r="AV29">
        <v>5</v>
      </c>
      <c r="AW29" s="54">
        <v>0.25</v>
      </c>
      <c r="AX29" s="20">
        <v>1.39093510710338</v>
      </c>
      <c r="AY29" s="20">
        <v>1.51982799377572</v>
      </c>
      <c r="AZ29" s="20">
        <v>1.61961500574281</v>
      </c>
      <c r="BA29" s="20">
        <v>1.66838591669</v>
      </c>
      <c r="BB29" s="20">
        <v>1.69983772586725</v>
      </c>
      <c r="BC29" s="20">
        <v>1.7222224639697299</v>
      </c>
      <c r="BD29" s="20">
        <v>1.73980959902136</v>
      </c>
      <c r="BE29" s="20">
        <v>1.7664128471124</v>
      </c>
      <c r="BF29" s="20">
        <v>1.78532983501077</v>
      </c>
      <c r="BG29" s="20">
        <v>1.80037335489135</v>
      </c>
      <c r="BH29" s="34">
        <v>1.81257915540905</v>
      </c>
      <c r="BI29" s="34">
        <v>1.8228216453031</v>
      </c>
      <c r="BJ29" s="20">
        <v>1.8318697742805001</v>
      </c>
      <c r="BK29" s="20">
        <v>1.8394780473742</v>
      </c>
      <c r="BL29" s="20">
        <v>1.85247999363686</v>
      </c>
      <c r="BM29" s="20">
        <v>1.86332286012046</v>
      </c>
      <c r="BN29" s="20">
        <v>1.8722728462242</v>
      </c>
      <c r="BO29" s="20">
        <v>1.88024177589548</v>
      </c>
      <c r="BP29" s="20">
        <v>1.88705437805096</v>
      </c>
      <c r="BQ29" s="20">
        <v>1.89872518158949</v>
      </c>
      <c r="BR29" s="20">
        <v>1.91645394854992</v>
      </c>
      <c r="BS29" s="20">
        <v>1.92941892571429</v>
      </c>
      <c r="BT29" s="20">
        <v>1.94001815500766</v>
      </c>
      <c r="BU29" s="20">
        <v>1.94816836172713</v>
      </c>
      <c r="BV29" s="20">
        <v>1.95568775031351</v>
      </c>
      <c r="BW29" s="20">
        <v>1.96175321418678</v>
      </c>
      <c r="BX29" s="20">
        <v>1.96175321418678</v>
      </c>
    </row>
    <row r="30" spans="2:76" ht="12.75">
      <c r="B30" s="21"/>
      <c r="C30" s="21"/>
      <c r="D30" s="21"/>
      <c r="AT30" s="55" t="s">
        <v>53</v>
      </c>
      <c r="AU30" s="54">
        <v>0.25</v>
      </c>
      <c r="AV30">
        <v>6</v>
      </c>
      <c r="AW30" s="54">
        <v>0.5</v>
      </c>
      <c r="AX30" s="20">
        <v>0.743901550485179</v>
      </c>
      <c r="AY30" s="20">
        <v>0.9425041061680811</v>
      </c>
      <c r="AZ30" s="20">
        <v>1.08457627793433</v>
      </c>
      <c r="BA30" s="20">
        <v>1.15075643986031</v>
      </c>
      <c r="BB30" s="20">
        <v>1.19214912501853</v>
      </c>
      <c r="BC30" s="20">
        <v>1.22167499707077</v>
      </c>
      <c r="BD30" s="20">
        <v>1.24427712080184</v>
      </c>
      <c r="BE30" s="20">
        <v>1.27760921430409</v>
      </c>
      <c r="BF30" s="20">
        <v>1.30168094929358</v>
      </c>
      <c r="BG30" s="20">
        <v>1.32035403281767</v>
      </c>
      <c r="BH30" s="34">
        <v>1.33545790068938</v>
      </c>
      <c r="BI30" s="34">
        <v>1.34811006848024</v>
      </c>
      <c r="BJ30" s="20">
        <v>1.35888620440587</v>
      </c>
      <c r="BK30" s="20">
        <v>1.36828688490213</v>
      </c>
      <c r="BL30" s="20">
        <v>1.38399478944173</v>
      </c>
      <c r="BM30" s="20">
        <v>1.39689644914252</v>
      </c>
      <c r="BN30" s="20">
        <v>1.40756084948636</v>
      </c>
      <c r="BO30" s="20">
        <v>1.41697317260304</v>
      </c>
      <c r="BP30" s="20">
        <v>1.42504487455139</v>
      </c>
      <c r="BQ30" s="20">
        <v>1.43870053290074</v>
      </c>
      <c r="BR30" s="20">
        <v>1.45924166487808</v>
      </c>
      <c r="BS30" s="20">
        <v>1.47450763911698</v>
      </c>
      <c r="BT30" s="20">
        <v>1.48643047885443</v>
      </c>
      <c r="BU30" s="20">
        <v>1.4963760540124</v>
      </c>
      <c r="BV30" s="20">
        <v>1.50474263627169</v>
      </c>
      <c r="BW30" s="20">
        <v>1.51201696949613</v>
      </c>
      <c r="BX30" s="20">
        <v>1.51201696949613</v>
      </c>
    </row>
    <row r="31" spans="2:76" ht="12.75">
      <c r="B31" s="21"/>
      <c r="C31" s="21"/>
      <c r="D31" s="21"/>
      <c r="AU31" s="54">
        <v>0.5</v>
      </c>
      <c r="AV31">
        <v>7</v>
      </c>
      <c r="AW31" s="54">
        <v>0.75</v>
      </c>
      <c r="AX31" s="20">
        <v>0.14176323027578802</v>
      </c>
      <c r="AY31" s="20">
        <v>0.44294986957786203</v>
      </c>
      <c r="AZ31" s="20">
        <v>0.6414741105040991</v>
      </c>
      <c r="BA31" s="20">
        <v>0.72965066833592</v>
      </c>
      <c r="BB31" s="20">
        <v>0.7834747875822461</v>
      </c>
      <c r="BC31" s="20">
        <v>0.8211858826088451</v>
      </c>
      <c r="BD31" s="20">
        <v>0.849726444196328</v>
      </c>
      <c r="BE31" s="20">
        <v>0.8911470304487711</v>
      </c>
      <c r="BF31" s="20">
        <v>0.9206450014067871</v>
      </c>
      <c r="BG31" s="20">
        <v>0.9433460983565911</v>
      </c>
      <c r="BH31" s="34">
        <v>0.961516011448949</v>
      </c>
      <c r="BI31" s="34">
        <v>0.97657921864011</v>
      </c>
      <c r="BJ31" s="20">
        <v>0.989494312772709</v>
      </c>
      <c r="BK31" s="20">
        <v>1.00065095362959</v>
      </c>
      <c r="BL31" s="20">
        <v>1.01932403715369</v>
      </c>
      <c r="BM31" s="20">
        <v>1.0344279050254</v>
      </c>
      <c r="BN31" s="20">
        <v>1.03742649794062</v>
      </c>
      <c r="BO31" s="20">
        <v>1.05785620874189</v>
      </c>
      <c r="BP31" s="20">
        <v>1.06725688923815</v>
      </c>
      <c r="BQ31" s="20">
        <v>1.08296479377775</v>
      </c>
      <c r="BR31" s="20">
        <v>1.10663278892012</v>
      </c>
      <c r="BS31" s="20">
        <v>1.12401487888741</v>
      </c>
      <c r="BT31" s="20">
        <v>1.13767053723676</v>
      </c>
      <c r="BU31" s="20">
        <v>1.14875685132179</v>
      </c>
      <c r="BV31" s="20">
        <v>1.1582116692141</v>
      </c>
      <c r="BW31" s="20">
        <v>1.16631168065959</v>
      </c>
      <c r="BX31" s="20">
        <v>1.16631168065959</v>
      </c>
    </row>
    <row r="32" spans="2:76" ht="12.75">
      <c r="B32" s="21"/>
      <c r="C32" s="21"/>
      <c r="D32" s="21"/>
      <c r="AU32" s="54">
        <v>0.75</v>
      </c>
      <c r="AV32">
        <v>8</v>
      </c>
      <c r="AW32" s="54">
        <v>1</v>
      </c>
      <c r="AX32" s="20">
        <v>-0.295163393788596</v>
      </c>
      <c r="AY32" s="20">
        <v>0.107752498740162</v>
      </c>
      <c r="AZ32" s="20">
        <v>0.358296608355735</v>
      </c>
      <c r="BA32" s="20">
        <v>0.46545721057571304</v>
      </c>
      <c r="BB32" s="20">
        <v>0.529622818133443</v>
      </c>
      <c r="BC32" s="20">
        <v>0.57399652277935</v>
      </c>
      <c r="BD32" s="20">
        <v>0.607347776768413</v>
      </c>
      <c r="BE32" s="20">
        <v>0.6553785755318511</v>
      </c>
      <c r="BF32" s="20">
        <v>0.6892200372638351</v>
      </c>
      <c r="BG32" s="20">
        <v>0.7150418210700431</v>
      </c>
      <c r="BH32" s="34">
        <v>0.7356787259059051</v>
      </c>
      <c r="BI32" s="34">
        <v>0.752701320223626</v>
      </c>
      <c r="BJ32" s="20">
        <v>0.7672300981107181</v>
      </c>
      <c r="BK32" s="20">
        <v>0.779704690689162</v>
      </c>
      <c r="BL32" s="20">
        <v>0.8005108768943681</v>
      </c>
      <c r="BM32" s="20">
        <v>0.8173008783933211</v>
      </c>
      <c r="BN32" s="20">
        <v>0.8312937443770091</v>
      </c>
      <c r="BO32" s="20">
        <v>0.8432327780980091</v>
      </c>
      <c r="BP32" s="20">
        <v>0.8535765436196411</v>
      </c>
      <c r="BQ32" s="20">
        <v>0.870901127691986</v>
      </c>
      <c r="BR32" s="20">
        <v>0.896801697664922</v>
      </c>
      <c r="BS32" s="20">
        <v>0.915716337945994</v>
      </c>
      <c r="BT32" s="20">
        <v>0.9304905653062691</v>
      </c>
      <c r="BU32" s="20">
        <v>0.9426032488421571</v>
      </c>
      <c r="BV32" s="20">
        <v>0.952792443044092</v>
      </c>
      <c r="BW32" s="20">
        <v>0.961563462362069</v>
      </c>
      <c r="BX32" s="20">
        <v>0.961563462362069</v>
      </c>
    </row>
    <row r="33" spans="2:76" ht="12.75">
      <c r="B33" s="21"/>
      <c r="C33" s="21"/>
      <c r="D33" s="21"/>
      <c r="AU33" s="54">
        <v>1</v>
      </c>
      <c r="AV33">
        <v>9</v>
      </c>
      <c r="AW33" s="54">
        <v>2</v>
      </c>
      <c r="AX33" s="20">
        <v>-0.667965722972482</v>
      </c>
      <c r="AY33" s="20">
        <v>-0.159204101152906</v>
      </c>
      <c r="AZ33" s="20">
        <v>0.14182589451107502</v>
      </c>
      <c r="BA33" s="20">
        <v>0.266819454909126</v>
      </c>
      <c r="BB33" s="20">
        <v>0.34052343078991504</v>
      </c>
      <c r="BC33" s="20">
        <v>0.3910233693701</v>
      </c>
      <c r="BD33" s="20">
        <v>0.42863685926860906</v>
      </c>
      <c r="BE33" s="34">
        <v>0.482430491568179</v>
      </c>
      <c r="BF33" s="34">
        <v>0.520103440670984</v>
      </c>
      <c r="BG33" s="20">
        <v>0.548671894086594</v>
      </c>
      <c r="BH33" s="34">
        <v>0.57135939275384</v>
      </c>
      <c r="BI33" s="34">
        <v>0.59011703478479</v>
      </c>
      <c r="BJ33" s="20">
        <v>0.605951157564873</v>
      </c>
      <c r="BK33" s="20">
        <v>0.619615005742806</v>
      </c>
      <c r="BL33" s="20">
        <v>0.642266618902673</v>
      </c>
      <c r="BM33" s="20">
        <v>0.660486015784968</v>
      </c>
      <c r="BN33" s="20">
        <v>0.6755950563867461</v>
      </c>
      <c r="BO33" s="20">
        <v>0.688464317108728</v>
      </c>
      <c r="BP33" s="20">
        <v>0.6996383033798631</v>
      </c>
      <c r="BQ33" s="20">
        <v>0.7182940414897091</v>
      </c>
      <c r="BR33" s="20">
        <v>0.7459721348545241</v>
      </c>
      <c r="BS33" s="20">
        <v>0.7661748123123031</v>
      </c>
      <c r="BT33" s="20">
        <v>0.781970673912552</v>
      </c>
      <c r="BU33" s="20">
        <v>0.7947667979408211</v>
      </c>
      <c r="BV33" s="20">
        <v>0.805568817548556</v>
      </c>
      <c r="BW33" s="20">
        <v>0.8148466686044631</v>
      </c>
      <c r="BX33" s="20">
        <v>0.8148466686044631</v>
      </c>
    </row>
    <row r="34" spans="2:76" ht="12.75">
      <c r="B34" s="21"/>
      <c r="C34" s="21"/>
      <c r="D34" s="21"/>
      <c r="AU34" s="56">
        <v>2</v>
      </c>
      <c r="AV34" s="6">
        <v>10</v>
      </c>
      <c r="AW34" s="56">
        <v>3</v>
      </c>
      <c r="AX34" s="20">
        <v>-1.95573470008468</v>
      </c>
      <c r="AY34" s="20">
        <v>-0.968995718636463</v>
      </c>
      <c r="AZ34" s="20">
        <v>-0.460209033654259</v>
      </c>
      <c r="BA34" s="20">
        <v>-0.267686672528757</v>
      </c>
      <c r="BB34" s="20">
        <v>-0.159172772425614</v>
      </c>
      <c r="BC34" s="20">
        <v>-0.08695478716117269</v>
      </c>
      <c r="BD34" s="34">
        <v>-0.034234035817313796</v>
      </c>
      <c r="BE34" s="34">
        <v>0.0394537789617364</v>
      </c>
      <c r="BF34" s="34">
        <v>0.0899757226877289</v>
      </c>
      <c r="BG34" s="39">
        <v>0.127623049598029</v>
      </c>
      <c r="BH34" s="35">
        <v>0.157245462845403</v>
      </c>
      <c r="BI34" s="35">
        <v>0.18141479625428403</v>
      </c>
      <c r="BJ34" s="39">
        <v>0.20169747573922803</v>
      </c>
      <c r="BK34" s="20">
        <v>0.21908655716925202</v>
      </c>
      <c r="BL34" s="20">
        <v>0.24760506415077</v>
      </c>
      <c r="BM34" s="20">
        <v>0.27032939708985804</v>
      </c>
      <c r="BN34" s="20">
        <v>0.28907587889822</v>
      </c>
      <c r="BO34" s="20">
        <v>0.304921161900892</v>
      </c>
      <c r="BP34" s="20">
        <v>0.31860586405505603</v>
      </c>
      <c r="BQ34" s="20">
        <v>0.341236623238692</v>
      </c>
      <c r="BR34" s="20">
        <v>0.374565060722765</v>
      </c>
      <c r="BS34" s="20">
        <v>0.39863432453839204</v>
      </c>
      <c r="BT34" s="20">
        <v>0.417239121467381</v>
      </c>
      <c r="BU34" s="20">
        <v>0.43232779226160406</v>
      </c>
      <c r="BV34" s="20">
        <v>0.44494993404981803</v>
      </c>
      <c r="BW34" s="20">
        <v>0.45574299644849</v>
      </c>
      <c r="BX34" s="20">
        <v>0.45574299644849</v>
      </c>
    </row>
    <row r="35" spans="2:76" ht="12.75">
      <c r="B35" s="21"/>
      <c r="C35" s="21"/>
      <c r="D35" s="21"/>
      <c r="AU35" s="56">
        <v>3</v>
      </c>
      <c r="AV35" s="6">
        <v>11</v>
      </c>
      <c r="AW35" s="56">
        <v>4</v>
      </c>
      <c r="AX35" s="20">
        <v>-3.16857818293498</v>
      </c>
      <c r="AY35" s="20">
        <v>-1.63404427733432</v>
      </c>
      <c r="AZ35" s="20">
        <v>-0.8971548357545821</v>
      </c>
      <c r="BA35" s="20">
        <v>-0.636294027145276</v>
      </c>
      <c r="BB35" s="20">
        <v>-0.49425327693553506</v>
      </c>
      <c r="BC35" s="20">
        <v>-0.40175680834637706</v>
      </c>
      <c r="BD35" s="34">
        <v>-0.335264031481295</v>
      </c>
      <c r="BE35" s="20">
        <v>-0.24379764218170702</v>
      </c>
      <c r="BF35" s="20">
        <v>-0.18208442757245502</v>
      </c>
      <c r="BG35" s="39">
        <v>-0.13661765155921202</v>
      </c>
      <c r="BH35" s="35">
        <v>-0.10119257345582401</v>
      </c>
      <c r="BI35" s="35">
        <v>-0.07245000145906101</v>
      </c>
      <c r="BJ35" s="39">
        <v>-0.0484682094576519</v>
      </c>
      <c r="BK35" s="20">
        <v>-0.0280287236002435</v>
      </c>
      <c r="BL35" s="20">
        <v>0.0053092368485165705</v>
      </c>
      <c r="BM35" s="20">
        <v>0.0316911686251464</v>
      </c>
      <c r="BN35" s="20">
        <v>0.0533089811240999</v>
      </c>
      <c r="BO35" s="20">
        <v>0.0715322226215185</v>
      </c>
      <c r="BP35" s="20">
        <v>0.08717781176115649</v>
      </c>
      <c r="BQ35" s="20">
        <v>0.112973459333154</v>
      </c>
      <c r="BR35" s="20">
        <v>0.150664353529561</v>
      </c>
      <c r="BS35" s="20">
        <v>0.177680759848778</v>
      </c>
      <c r="BT35" s="20">
        <v>0.19847013517223203</v>
      </c>
      <c r="BU35" s="20">
        <v>0.215254115449999</v>
      </c>
      <c r="BV35" s="20">
        <v>0.22923375304904703</v>
      </c>
      <c r="BW35" s="20">
        <v>0.24115284739780402</v>
      </c>
      <c r="BX35" s="20">
        <v>0.24115284739780402</v>
      </c>
    </row>
    <row r="36" spans="2:76" ht="12.75">
      <c r="B36" s="21"/>
      <c r="C36" s="21"/>
      <c r="D36" s="21"/>
      <c r="AU36" s="54">
        <v>4</v>
      </c>
      <c r="AV36">
        <v>12</v>
      </c>
      <c r="AW36" s="54">
        <v>5</v>
      </c>
      <c r="AX36" s="20">
        <v>-4.3735569746687</v>
      </c>
      <c r="AY36" s="20">
        <v>-2.25676469574866</v>
      </c>
      <c r="AZ36" s="20">
        <v>-1.26999336582314</v>
      </c>
      <c r="BA36" s="20">
        <v>-0.9373240228092571</v>
      </c>
      <c r="BB36" s="20">
        <v>-0.76123902931824</v>
      </c>
      <c r="BC36" s="20">
        <v>-0.648609584857747</v>
      </c>
      <c r="BD36" s="20">
        <v>-0.5686362358410131</v>
      </c>
      <c r="BE36" s="20">
        <v>-0.46029676105217404</v>
      </c>
      <c r="BF36" s="20">
        <v>-0.387905205274422</v>
      </c>
      <c r="BG36" s="20">
        <v>-0.335264031481295</v>
      </c>
      <c r="BH36" s="34">
        <v>-0.294452719813228</v>
      </c>
      <c r="BI36" s="34">
        <v>-0.26156828517971403</v>
      </c>
      <c r="BJ36" s="20">
        <v>-0.23424951061534802</v>
      </c>
      <c r="BK36" s="20">
        <v>-0.211054272976252</v>
      </c>
      <c r="BL36" s="20">
        <v>-0.173413420390923</v>
      </c>
      <c r="BM36" s="20">
        <v>-0.143796930169763</v>
      </c>
      <c r="BN36" s="20">
        <v>-0.11962663965209601</v>
      </c>
      <c r="BO36" s="20">
        <v>-0.0993379790060363</v>
      </c>
      <c r="BP36" s="20">
        <v>-0.08194343849472879</v>
      </c>
      <c r="BQ36" s="20">
        <v>-0.0534151087352513</v>
      </c>
      <c r="BR36" s="20">
        <v>-0.0119541167657612</v>
      </c>
      <c r="BS36" s="20">
        <v>0.0175758683910744</v>
      </c>
      <c r="BT36" s="20">
        <v>0.0402185041985111</v>
      </c>
      <c r="BU36" s="20">
        <v>0.0584108390697802</v>
      </c>
      <c r="BV36" s="20">
        <v>0.0735350650587839</v>
      </c>
      <c r="BW36" s="20">
        <v>0.0864167835935765</v>
      </c>
      <c r="BX36" s="20">
        <v>0.0864167835935765</v>
      </c>
    </row>
    <row r="37" spans="2:76" ht="12.75">
      <c r="B37" s="21"/>
      <c r="C37" s="21"/>
      <c r="D37" s="21"/>
      <c r="AU37" s="54">
        <v>5</v>
      </c>
      <c r="AV37">
        <v>13</v>
      </c>
      <c r="AW37" s="54">
        <v>6</v>
      </c>
      <c r="AX37" s="20">
        <v>-5.5775743236288005</v>
      </c>
      <c r="AY37" s="20">
        <v>-2.86518562967954</v>
      </c>
      <c r="AZ37" s="20">
        <v>-1.61118858652648</v>
      </c>
      <c r="BA37" s="20">
        <v>-1.20252471246267</v>
      </c>
      <c r="BB37" s="20">
        <v>-0.9911869909479111</v>
      </c>
      <c r="BC37" s="20">
        <v>-0.858236769724212</v>
      </c>
      <c r="BD37" s="20">
        <v>-0.764850463526756</v>
      </c>
      <c r="BE37" s="20">
        <v>-0.639595945270061</v>
      </c>
      <c r="BF37" s="20">
        <v>-0.557050130422138</v>
      </c>
      <c r="BG37" s="20">
        <v>-0.49743633089263706</v>
      </c>
      <c r="BH37" s="34">
        <v>-0.45148774365896405</v>
      </c>
      <c r="BI37" s="34">
        <v>-0.41476493663422503</v>
      </c>
      <c r="BJ37" s="20">
        <v>-0.38431291806516904</v>
      </c>
      <c r="BK37" s="20">
        <v>-0.35852588949590003</v>
      </c>
      <c r="BL37" s="20">
        <v>-0.316763787530139</v>
      </c>
      <c r="BM37" s="20">
        <v>-0.28424728317714</v>
      </c>
      <c r="BN37" s="20">
        <v>-0.257667717642852</v>
      </c>
      <c r="BO37" s="20">
        <v>-0.23545028093553302</v>
      </c>
      <c r="BP37" s="20">
        <v>-0.21652521241775402</v>
      </c>
      <c r="BQ37" s="20">
        <v>-0.18548604763176202</v>
      </c>
      <c r="BR37" s="20">
        <v>-0.140621495574399</v>
      </c>
      <c r="BS37" s="20">
        <v>-0.10890877353227602</v>
      </c>
      <c r="BT37" s="20">
        <v>-0.0846265504301881</v>
      </c>
      <c r="BU37" s="20">
        <v>-0.06514819703433909</v>
      </c>
      <c r="BV37" s="20">
        <v>-0.0489540518641802</v>
      </c>
      <c r="BW37" s="20">
        <v>-0.0353020526641884</v>
      </c>
      <c r="BX37" s="20">
        <v>-0.0353020526641884</v>
      </c>
    </row>
    <row r="38" spans="2:76" ht="12.75">
      <c r="B38" s="21"/>
      <c r="C38" s="21"/>
      <c r="D38" s="21"/>
      <c r="AU38" s="54">
        <v>6</v>
      </c>
      <c r="AV38">
        <v>14</v>
      </c>
      <c r="AW38" s="54">
        <v>7</v>
      </c>
      <c r="AX38" s="20">
        <v>-6.78172714642855</v>
      </c>
      <c r="AY38" s="20">
        <v>-3.46986436175454</v>
      </c>
      <c r="AZ38" s="20">
        <v>-1.93498078586375</v>
      </c>
      <c r="BA38" s="20">
        <v>-1.44611697335613</v>
      </c>
      <c r="BB38" s="20">
        <v>-1.19811629287476</v>
      </c>
      <c r="BC38" s="20">
        <v>-1.04431224968649</v>
      </c>
      <c r="BD38" s="20">
        <v>-0.9372676367946061</v>
      </c>
      <c r="BE38" s="20">
        <v>-0.7953374882517811</v>
      </c>
      <c r="BF38" s="20">
        <v>-0.7027868040103581</v>
      </c>
      <c r="BG38" s="20">
        <v>-0.636294027145276</v>
      </c>
      <c r="BH38" s="34">
        <v>-0.5854611638032</v>
      </c>
      <c r="BI38" s="34">
        <v>-0.544850478820172</v>
      </c>
      <c r="BJ38" s="20">
        <v>-0.5113083016830591</v>
      </c>
      <c r="BK38" s="20">
        <v>-0.48313423850218606</v>
      </c>
      <c r="BL38" s="20">
        <v>-0.437707135543525</v>
      </c>
      <c r="BM38" s="20">
        <v>-0.402195157595707</v>
      </c>
      <c r="BN38" s="20">
        <v>-0.373454340972871</v>
      </c>
      <c r="BO38" s="20">
        <v>-0.34949820512163304</v>
      </c>
      <c r="BP38" s="20">
        <v>-0.32910504647979</v>
      </c>
      <c r="BQ38" s="20">
        <v>-0.295677859177765</v>
      </c>
      <c r="BR38" s="20">
        <v>-0.24772101453988102</v>
      </c>
      <c r="BS38" s="20">
        <v>-0.21388771628017303</v>
      </c>
      <c r="BT38" s="20">
        <v>-0.188090019579901</v>
      </c>
      <c r="BU38" s="20">
        <v>-0.16742722515382</v>
      </c>
      <c r="BV38" s="20">
        <v>-0.150334944521267</v>
      </c>
      <c r="BW38" s="20">
        <v>-0.13590442657575202</v>
      </c>
      <c r="BX38" s="20">
        <v>-0.13590442657575202</v>
      </c>
    </row>
    <row r="39" spans="2:76" ht="12.75">
      <c r="B39" s="21"/>
      <c r="C39" s="21"/>
      <c r="D39" s="21"/>
      <c r="AU39" s="54">
        <v>7</v>
      </c>
      <c r="AV39">
        <v>15</v>
      </c>
      <c r="AW39" s="54">
        <v>8</v>
      </c>
      <c r="AX39" s="20">
        <v>-7.98632030270881</v>
      </c>
      <c r="AY39" s="20">
        <v>-4.07237303755505</v>
      </c>
      <c r="AZ39" s="20">
        <v>-2.24910607961787</v>
      </c>
      <c r="BA39" s="20">
        <v>-1.67604699245708</v>
      </c>
      <c r="BB39" s="20">
        <v>-1.389872386924</v>
      </c>
      <c r="BC39" s="20">
        <v>-1.21445663004341</v>
      </c>
      <c r="BD39" s="20">
        <v>-1.09366495819491</v>
      </c>
      <c r="BE39" s="20">
        <v>-0.9347938719456881</v>
      </c>
      <c r="BF39" s="20">
        <v>-0.83223973356437</v>
      </c>
      <c r="BG39" s="20">
        <v>-0.758951849328355</v>
      </c>
      <c r="BH39" s="20">
        <v>-0.703225153259688</v>
      </c>
      <c r="BI39" s="20">
        <v>-0.6589613683224771</v>
      </c>
      <c r="BJ39" s="20">
        <v>-0.622511616623867</v>
      </c>
      <c r="BK39" s="20">
        <v>-0.591946685702019</v>
      </c>
      <c r="BL39" s="20">
        <v>-0.5427238139386741</v>
      </c>
      <c r="BM39" s="20">
        <v>-0.504594436853807</v>
      </c>
      <c r="BN39" s="20">
        <v>-0.47378999615833606</v>
      </c>
      <c r="BO39" s="20">
        <v>-0.44806230463516306</v>
      </c>
      <c r="BP39" s="20">
        <v>-0.42620041778425904</v>
      </c>
      <c r="BQ39" s="20">
        <v>-0.390725827595412</v>
      </c>
      <c r="BR39" s="20">
        <v>-0.33970383972927</v>
      </c>
      <c r="BS39" s="20">
        <v>-0.30390584000477705</v>
      </c>
      <c r="BT39" s="20">
        <v>-0.276708553522416</v>
      </c>
      <c r="BU39" s="20">
        <v>-0.25500332596144</v>
      </c>
      <c r="BV39" s="20">
        <v>-0.237096471500943</v>
      </c>
      <c r="BW39" s="20">
        <v>-0.221848749616356</v>
      </c>
      <c r="BX39" s="20">
        <v>-0.221848749616356</v>
      </c>
    </row>
    <row r="40" spans="2:76" ht="12.75">
      <c r="B40" s="21"/>
      <c r="C40" s="21"/>
      <c r="D40" s="21"/>
      <c r="AU40" s="54">
        <v>8</v>
      </c>
      <c r="AV40">
        <v>16</v>
      </c>
      <c r="AW40" s="54">
        <v>9</v>
      </c>
      <c r="AX40" s="20">
        <v>-9.19044028536473</v>
      </c>
      <c r="AY40" s="20">
        <v>-4.67468962828894</v>
      </c>
      <c r="AZ40" s="20">
        <v>-2.55791237044924</v>
      </c>
      <c r="BA40" s="20">
        <v>-1.89670952844225</v>
      </c>
      <c r="BB40" s="20">
        <v>-1.57105570996443</v>
      </c>
      <c r="BC40" s="20">
        <v>-1.37335173152599</v>
      </c>
      <c r="BD40" s="20">
        <v>-1.23837281543842</v>
      </c>
      <c r="BE40" s="20">
        <v>-1.06228155638274</v>
      </c>
      <c r="BF40" s="20">
        <v>-0.949620243738542</v>
      </c>
      <c r="BG40" s="20">
        <v>-0.8697627521147699</v>
      </c>
      <c r="BH40" s="20">
        <v>-0.8092202290719811</v>
      </c>
      <c r="BI40" s="20">
        <v>-0.761201437286083</v>
      </c>
      <c r="BJ40" s="20">
        <v>-0.721932669111337</v>
      </c>
      <c r="BK40" s="20">
        <v>-0.6889882510187111</v>
      </c>
      <c r="BL40" s="20">
        <v>-0.636294027145276</v>
      </c>
      <c r="BM40" s="20">
        <v>-0.5955083822413141</v>
      </c>
      <c r="BN40" s="20">
        <v>-0.562566556202029</v>
      </c>
      <c r="BO40" s="20">
        <v>-0.535286954242937</v>
      </c>
      <c r="BP40" s="20">
        <v>-0.512084268640233</v>
      </c>
      <c r="BQ40" s="20">
        <v>-0.47443694172993306</v>
      </c>
      <c r="BR40" s="20">
        <v>-0.42061659578606403</v>
      </c>
      <c r="BS40" s="20">
        <v>-0.38299965887910103</v>
      </c>
      <c r="BT40" s="20">
        <v>-0.354430370648848</v>
      </c>
      <c r="BU40" s="20">
        <v>-0.331707289551779</v>
      </c>
      <c r="BV40" s="20">
        <v>-0.313006433735321</v>
      </c>
      <c r="BW40" s="20">
        <v>-0.29713882942707104</v>
      </c>
      <c r="BX40" s="20">
        <v>-0.29713882942707104</v>
      </c>
    </row>
    <row r="41" spans="2:76" ht="12.75">
      <c r="B41" s="21"/>
      <c r="C41" s="21"/>
      <c r="D41" s="21"/>
      <c r="AU41" s="54">
        <v>9</v>
      </c>
      <c r="AV41">
        <v>17</v>
      </c>
      <c r="AW41" s="54">
        <v>10</v>
      </c>
      <c r="AX41" s="20">
        <v>-10.3936186348894</v>
      </c>
      <c r="AY41" s="20">
        <v>-5.27687284120431</v>
      </c>
      <c r="AZ41" s="20">
        <v>-2.86312096012448</v>
      </c>
      <c r="BA41" s="20">
        <v>-2.11125903931711</v>
      </c>
      <c r="BB41" s="20">
        <v>-1.74448628718047</v>
      </c>
      <c r="BC41" s="20">
        <v>-1.52374820399297</v>
      </c>
      <c r="BD41" s="20">
        <v>-1.37427609047424</v>
      </c>
      <c r="BE41" s="20">
        <v>-1.18078520011762</v>
      </c>
      <c r="BF41" s="20">
        <v>-1.05799194697769</v>
      </c>
      <c r="BG41" s="20">
        <v>-0.9714287473074621</v>
      </c>
      <c r="BH41" s="20">
        <v>-0.9060882589506221</v>
      </c>
      <c r="BI41" s="20">
        <v>-0.854492828590337</v>
      </c>
      <c r="BJ41" s="20">
        <v>-0.812394684581851</v>
      </c>
      <c r="BK41" s="20">
        <v>-0.77715352002585</v>
      </c>
      <c r="BL41" s="20">
        <v>-0.7209036702523991</v>
      </c>
      <c r="BM41" s="20">
        <v>-0.677491272078491</v>
      </c>
      <c r="BN41" s="20">
        <v>-0.642636969384857</v>
      </c>
      <c r="BO41" s="20">
        <v>-0.613768649420475</v>
      </c>
      <c r="BP41" s="20">
        <v>-0.58922276662279</v>
      </c>
      <c r="BQ41" s="20">
        <v>-0.549596913844634</v>
      </c>
      <c r="BR41" s="20">
        <v>-0.49308927444848205</v>
      </c>
      <c r="BS41" s="20">
        <v>-0.453580733164808</v>
      </c>
      <c r="BT41" s="20">
        <v>-0.42383148039219104</v>
      </c>
      <c r="BU41" s="20">
        <v>-0.40011692792631204</v>
      </c>
      <c r="BV41" s="20">
        <v>-0.38059358911322305</v>
      </c>
      <c r="BW41" s="20">
        <v>-0.364114314718727</v>
      </c>
      <c r="BX41" s="20">
        <v>-0.364114314718727</v>
      </c>
    </row>
    <row r="42" spans="2:76" ht="12.75">
      <c r="B42" s="21"/>
      <c r="C42" s="21"/>
      <c r="D42" s="21"/>
      <c r="AU42" s="54">
        <v>10</v>
      </c>
      <c r="AV42">
        <v>18</v>
      </c>
      <c r="AW42" s="54">
        <v>11</v>
      </c>
      <c r="AX42" s="20">
        <v>-11.5985994592185</v>
      </c>
      <c r="AY42" s="20">
        <v>-5.8784401558125</v>
      </c>
      <c r="AZ42" s="20">
        <v>-3.16653413982931</v>
      </c>
      <c r="BA42" s="20">
        <v>-2.32148162095989</v>
      </c>
      <c r="BB42" s="20">
        <v>-1.91221858219046</v>
      </c>
      <c r="BC42" s="20">
        <v>-1.66796572297248</v>
      </c>
      <c r="BD42" s="20">
        <v>-1.50348548130225</v>
      </c>
      <c r="BE42" s="20">
        <v>-1.29217443166777</v>
      </c>
      <c r="BF42" s="20">
        <v>-1.15914144595812</v>
      </c>
      <c r="BG42" s="20">
        <v>-1.06585518820752</v>
      </c>
      <c r="BH42" s="20">
        <v>-0.995764633640532</v>
      </c>
      <c r="BI42" s="20">
        <v>-0.9405880625613431</v>
      </c>
      <c r="BJ42" s="20">
        <v>-0.8956836354882721</v>
      </c>
      <c r="BK42" s="20">
        <v>-0.858111450294139</v>
      </c>
      <c r="BL42" s="20">
        <v>-0.798493632946762</v>
      </c>
      <c r="BM42" s="20">
        <v>-0.7525177393229461</v>
      </c>
      <c r="BN42" s="20">
        <v>-0.7157046517694731</v>
      </c>
      <c r="BO42" s="20">
        <v>-0.6852903070448261</v>
      </c>
      <c r="BP42" s="20">
        <v>-0.659476569210085</v>
      </c>
      <c r="BQ42" s="20">
        <v>-0.61785683211575</v>
      </c>
      <c r="BR42" s="20">
        <v>-0.5587291565795011</v>
      </c>
      <c r="BS42" s="20">
        <v>-0.517555208081735</v>
      </c>
      <c r="BT42" s="20">
        <v>-0.48651604329574305</v>
      </c>
      <c r="BU42" s="20">
        <v>-0.46192921295682804</v>
      </c>
      <c r="BV42" s="20">
        <v>-0.441711530566865</v>
      </c>
      <c r="BW42" s="20">
        <v>-0.424638933844793</v>
      </c>
      <c r="BX42" s="20">
        <v>-0.424638933844793</v>
      </c>
    </row>
    <row r="43" spans="47:76" ht="12.75">
      <c r="AU43" s="54">
        <v>11</v>
      </c>
      <c r="AV43">
        <v>19</v>
      </c>
      <c r="AW43" s="54">
        <v>12</v>
      </c>
      <c r="AX43" s="20">
        <v>-12.8027194418744</v>
      </c>
      <c r="AY43" s="20">
        <v>-6.48082853617834</v>
      </c>
      <c r="AZ43" s="20">
        <v>-3.46903231842808</v>
      </c>
      <c r="BA43" s="20">
        <v>-2.52870828894106</v>
      </c>
      <c r="BB43" s="20">
        <v>-2.07566901529132</v>
      </c>
      <c r="BC43" s="20">
        <v>-1.80715388481116</v>
      </c>
      <c r="BD43" s="20">
        <v>-1.62745619924093</v>
      </c>
      <c r="BE43" s="20">
        <v>-1.39804859586648</v>
      </c>
      <c r="BF43" s="20">
        <v>-1.25461287867999</v>
      </c>
      <c r="BG43" s="20">
        <v>-1.15452986701833</v>
      </c>
      <c r="BH43" s="20">
        <v>-1.07961575782164</v>
      </c>
      <c r="BI43" s="20">
        <v>-1.02081596632558</v>
      </c>
      <c r="BJ43" s="20">
        <v>-0.973140014015438</v>
      </c>
      <c r="BK43" s="20">
        <v>-0.9333759490165741</v>
      </c>
      <c r="BL43" s="20">
        <v>-0.8702456771972271</v>
      </c>
      <c r="BM43" s="20">
        <v>-0.8218867476853681</v>
      </c>
      <c r="BN43" s="20">
        <v>-0.78314821671562</v>
      </c>
      <c r="BO43" s="20">
        <v>-0.751168807192038</v>
      </c>
      <c r="BP43" s="20">
        <v>-0.7241360492874791</v>
      </c>
      <c r="BQ43" s="20">
        <v>-0.6805816109522721</v>
      </c>
      <c r="BR43" s="20">
        <v>-0.618884919290149</v>
      </c>
      <c r="BS43" s="20">
        <v>-0.5760990814715831</v>
      </c>
      <c r="BT43" s="20">
        <v>-0.543861803449709</v>
      </c>
      <c r="BU43" s="20">
        <v>-0.5183710804924221</v>
      </c>
      <c r="BV43" s="20">
        <v>-0.49743633089263706</v>
      </c>
      <c r="BW43" s="20">
        <v>-0.47977856411804</v>
      </c>
      <c r="BX43" s="20">
        <v>-0.47977856411804</v>
      </c>
    </row>
    <row r="44" spans="12:76" ht="12.75">
      <c r="L44" s="10">
        <f aca="true" t="shared" si="4" ref="L44:L107">C$17*((EXP(-C$14*$N44))-(EXP(-C$15*$N44)))</f>
        <v>0</v>
      </c>
      <c r="M44" s="10">
        <f aca="true" t="shared" si="5" ref="M44:M107">D$17*((EXP(-D$14*$N44))-(EXP(-D$15*$N44)))</f>
        <v>0</v>
      </c>
      <c r="N44">
        <v>0</v>
      </c>
      <c r="AU44" s="54">
        <v>12</v>
      </c>
      <c r="AV44">
        <v>20</v>
      </c>
      <c r="AW44">
        <v>12</v>
      </c>
      <c r="AX44" s="20">
        <v>-14.0065637695024</v>
      </c>
      <c r="AY44" s="20">
        <v>-7.08301995267962</v>
      </c>
      <c r="AZ44" s="20">
        <v>-3.7705741520793</v>
      </c>
      <c r="BA44" s="20">
        <v>-2.73388595046832</v>
      </c>
      <c r="BB44" s="20">
        <v>-2.23619777592541</v>
      </c>
      <c r="BC44" s="20">
        <v>-1.94252408417375</v>
      </c>
      <c r="BD44" s="20">
        <v>-1.74714696902011</v>
      </c>
      <c r="BE44" s="20">
        <v>-1.49921482708254</v>
      </c>
      <c r="BF44" s="20">
        <v>-1.34524606674707</v>
      </c>
      <c r="BG44" s="20">
        <v>-1.23837281543842</v>
      </c>
      <c r="BH44" s="20">
        <v>-1.15864052954514</v>
      </c>
      <c r="BI44" s="20">
        <v>-1.0963132682635</v>
      </c>
      <c r="BJ44" s="20">
        <v>-1.04585401117045</v>
      </c>
      <c r="BK44" s="20">
        <v>-1.00383870663199</v>
      </c>
      <c r="BL44" s="20">
        <v>-0.9373052266576061</v>
      </c>
      <c r="BM44" s="20">
        <v>-0.886491159467181</v>
      </c>
      <c r="BN44" s="20">
        <v>-0.845819567888176</v>
      </c>
      <c r="BO44" s="20">
        <v>-0.8123664900493061</v>
      </c>
      <c r="BP44" s="20">
        <v>-0.784177444845628</v>
      </c>
      <c r="BQ44" s="20">
        <v>-0.7447274948966941</v>
      </c>
      <c r="BR44" s="20">
        <v>-0.677780705266081</v>
      </c>
      <c r="BS44" s="20">
        <v>-0.638272163982407</v>
      </c>
      <c r="BT44" s="20">
        <v>-0.6020599913279621</v>
      </c>
      <c r="BU44" s="20">
        <v>-0.570376897417314</v>
      </c>
      <c r="BV44" s="20">
        <v>-0.552841968657781</v>
      </c>
      <c r="BW44" s="20">
        <v>-0.530767257493388</v>
      </c>
      <c r="BX44" s="20">
        <v>-0.530767257493388</v>
      </c>
    </row>
    <row r="45" spans="12:76" ht="12.75">
      <c r="L45" s="10">
        <f t="shared" si="4"/>
        <v>0.05759098309399119</v>
      </c>
      <c r="M45" s="10">
        <f t="shared" si="5"/>
        <v>0.04200290718750611</v>
      </c>
      <c r="N45">
        <f aca="true" t="shared" si="6" ref="N45:N108">N44+N$286</f>
        <v>0.08831297287374403</v>
      </c>
      <c r="AT45" s="20"/>
      <c r="AU45">
        <v>12</v>
      </c>
      <c r="AV45">
        <v>21</v>
      </c>
      <c r="AW45">
        <v>12</v>
      </c>
      <c r="AX45" s="20">
        <v>-14.0065637695024</v>
      </c>
      <c r="AY45" s="20">
        <v>-7.08301995267962</v>
      </c>
      <c r="AZ45" s="20">
        <v>-3.7705741520793</v>
      </c>
      <c r="BA45" s="20">
        <v>-2.73388595046832</v>
      </c>
      <c r="BB45" s="20">
        <v>-2.23619777592541</v>
      </c>
      <c r="BC45" s="20">
        <v>-1.94252408417375</v>
      </c>
      <c r="BD45" s="20">
        <v>-1.74714696902011</v>
      </c>
      <c r="BE45" s="20">
        <v>-1.49921482708254</v>
      </c>
      <c r="BF45" s="20">
        <v>-1.34524606674707</v>
      </c>
      <c r="BG45" s="20">
        <v>-1.23837281543842</v>
      </c>
      <c r="BH45" s="20">
        <v>-1.15864052954514</v>
      </c>
      <c r="BI45" s="20">
        <v>-1.0963132682635</v>
      </c>
      <c r="BJ45" s="20">
        <v>-1.04585401117045</v>
      </c>
      <c r="BK45" s="20">
        <v>-1.00383870663199</v>
      </c>
      <c r="BL45" s="20">
        <v>-0.9373052266576061</v>
      </c>
      <c r="BM45" s="20">
        <v>-0.886491159467181</v>
      </c>
      <c r="BN45" s="20">
        <v>-0.845819567888176</v>
      </c>
      <c r="BO45" s="20">
        <v>-0.8123664900493061</v>
      </c>
      <c r="BP45" s="20">
        <v>-0.784177444845628</v>
      </c>
      <c r="BQ45" s="20">
        <v>-0.7447274948966941</v>
      </c>
      <c r="BR45" s="20">
        <v>-0.677780705266081</v>
      </c>
      <c r="BS45" s="20">
        <v>-0.638272163982407</v>
      </c>
      <c r="BT45" s="20">
        <v>-0.6020599913279621</v>
      </c>
      <c r="BU45" s="20">
        <v>-0.570376897417314</v>
      </c>
      <c r="BV45" s="20">
        <v>-0.552841968657781</v>
      </c>
      <c r="BW45" s="20">
        <v>-0.530767257493388</v>
      </c>
      <c r="BX45" s="20">
        <v>-0.530767257493388</v>
      </c>
    </row>
    <row r="46" spans="12:14" ht="12.75">
      <c r="L46" s="10">
        <f t="shared" si="4"/>
        <v>0.11012873884529906</v>
      </c>
      <c r="M46" s="10">
        <f t="shared" si="5"/>
        <v>0.08153358883998761</v>
      </c>
      <c r="N46">
        <f t="shared" si="6"/>
        <v>0.17662594574748805</v>
      </c>
    </row>
    <row r="47" spans="12:14" ht="12.75">
      <c r="L47" s="10">
        <f t="shared" si="4"/>
        <v>0.15795119022915616</v>
      </c>
      <c r="M47" s="10">
        <f t="shared" si="5"/>
        <v>0.11870276930145081</v>
      </c>
      <c r="N47">
        <f t="shared" si="6"/>
        <v>0.2649389186212321</v>
      </c>
    </row>
    <row r="48" spans="12:14" ht="12.75">
      <c r="L48" s="10">
        <f t="shared" si="4"/>
        <v>0.2013758635078108</v>
      </c>
      <c r="M48" s="10">
        <f t="shared" si="5"/>
        <v>0.153616703361868</v>
      </c>
      <c r="N48">
        <f t="shared" si="6"/>
        <v>0.3532518914949761</v>
      </c>
    </row>
    <row r="49" spans="12:14" ht="12.75">
      <c r="L49" s="10">
        <f t="shared" si="4"/>
        <v>0.240701059081044</v>
      </c>
      <c r="M49" s="10">
        <f t="shared" si="5"/>
        <v>0.18637734762576127</v>
      </c>
      <c r="N49">
        <f t="shared" si="6"/>
        <v>0.4415648643687201</v>
      </c>
    </row>
    <row r="50" spans="12:14" ht="12.75">
      <c r="L50" s="10">
        <f t="shared" si="4"/>
        <v>0.2762069569540621</v>
      </c>
      <c r="M50" s="10">
        <f t="shared" si="5"/>
        <v>0.2170825254960083</v>
      </c>
      <c r="N50">
        <f t="shared" si="6"/>
        <v>0.5298778372424642</v>
      </c>
    </row>
    <row r="51" spans="12:14" ht="12.75">
      <c r="L51" s="10">
        <f t="shared" si="4"/>
        <v>0.30815666041551965</v>
      </c>
      <c r="M51" s="10">
        <f t="shared" si="5"/>
        <v>0.24582608600673428</v>
      </c>
      <c r="N51">
        <f t="shared" si="6"/>
        <v>0.6181908101162082</v>
      </c>
    </row>
    <row r="52" spans="12:14" ht="12.75">
      <c r="L52" s="10">
        <f t="shared" si="4"/>
        <v>0.3367971813229226</v>
      </c>
      <c r="M52" s="10">
        <f t="shared" si="5"/>
        <v>0.27269805673067815</v>
      </c>
      <c r="N52">
        <f t="shared" si="6"/>
        <v>0.7065037829899523</v>
      </c>
    </row>
    <row r="53" spans="12:14" ht="12.75">
      <c r="L53" s="10">
        <f t="shared" si="4"/>
        <v>0.36236037020772977</v>
      </c>
      <c r="M53" s="10">
        <f t="shared" si="5"/>
        <v>0.2977847909782688</v>
      </c>
      <c r="N53">
        <f t="shared" si="6"/>
        <v>0.7948167558636964</v>
      </c>
    </row>
    <row r="54" spans="12:14" ht="12.75">
      <c r="L54" s="10">
        <f t="shared" si="4"/>
        <v>0.3850637942375371</v>
      </c>
      <c r="M54" s="10">
        <f t="shared" si="5"/>
        <v>0.32116910949773547</v>
      </c>
      <c r="N54">
        <f t="shared" si="6"/>
        <v>0.8831297287374404</v>
      </c>
    </row>
    <row r="55" spans="12:14" ht="12.75">
      <c r="L55" s="10">
        <f t="shared" si="4"/>
        <v>0.40511156590727726</v>
      </c>
      <c r="M55" s="10">
        <f t="shared" si="5"/>
        <v>0.3429304368780182</v>
      </c>
      <c r="N55">
        <f t="shared" si="6"/>
        <v>0.9714427016111845</v>
      </c>
    </row>
    <row r="56" spans="12:14" ht="12.75">
      <c r="L56" s="10">
        <f t="shared" si="4"/>
        <v>0.42269512517485713</v>
      </c>
      <c r="M56" s="10">
        <f t="shared" si="5"/>
        <v>0.36314493284889204</v>
      </c>
      <c r="N56">
        <f t="shared" si="6"/>
        <v>1.0597556744849286</v>
      </c>
    </row>
    <row r="57" spans="12:14" ht="12.75">
      <c r="L57" s="10">
        <f t="shared" si="4"/>
        <v>0.4379939776086183</v>
      </c>
      <c r="M57" s="10">
        <f t="shared" si="5"/>
        <v>0.3818856186656927</v>
      </c>
      <c r="N57">
        <f t="shared" si="6"/>
        <v>1.1480686473586725</v>
      </c>
    </row>
    <row r="58" spans="12:14" ht="12.75">
      <c r="L58" s="10">
        <f t="shared" si="4"/>
        <v>0.45117639097400253</v>
      </c>
      <c r="M58" s="10">
        <f t="shared" si="5"/>
        <v>0.39922249875919863</v>
      </c>
      <c r="N58">
        <f t="shared" si="6"/>
        <v>1.2363816202324165</v>
      </c>
    </row>
    <row r="59" spans="12:14" ht="12.75">
      <c r="L59" s="10">
        <f t="shared" si="4"/>
        <v>0.46240005255435995</v>
      </c>
      <c r="M59" s="10">
        <f t="shared" si="5"/>
        <v>0.4152226778246936</v>
      </c>
      <c r="N59">
        <f t="shared" si="6"/>
        <v>1.3246945931061604</v>
      </c>
    </row>
    <row r="60" spans="12:14" ht="12.75">
      <c r="L60" s="10">
        <f t="shared" si="4"/>
        <v>0.471812689375586</v>
      </c>
      <c r="M60" s="10">
        <f t="shared" si="5"/>
        <v>0.429950473517895</v>
      </c>
      <c r="N60">
        <f t="shared" si="6"/>
        <v>1.4130075659799044</v>
      </c>
    </row>
    <row r="61" spans="12:14" ht="12.75">
      <c r="L61" s="10">
        <f t="shared" si="4"/>
        <v>0.4795526533858042</v>
      </c>
      <c r="M61" s="10">
        <f t="shared" si="5"/>
        <v>0.44346752491934915</v>
      </c>
      <c r="N61">
        <f t="shared" si="6"/>
        <v>1.5013205388536484</v>
      </c>
    </row>
    <row r="62" spans="3:14" ht="12.75">
      <c r="C62" s="57" t="s">
        <v>54</v>
      </c>
      <c r="D62" s="41">
        <f>C7</f>
        <v>2</v>
      </c>
      <c r="E62" s="41">
        <f>D7</f>
        <v>3</v>
      </c>
      <c r="L62" s="10">
        <f t="shared" si="4"/>
        <v>0.48574947352925996</v>
      </c>
      <c r="M62" s="10">
        <f t="shared" si="5"/>
        <v>0.45583289692302215</v>
      </c>
      <c r="N62">
        <f t="shared" si="6"/>
        <v>1.5896335117273923</v>
      </c>
    </row>
    <row r="63" spans="3:14" ht="12.75">
      <c r="C63" s="7" t="s">
        <v>55</v>
      </c>
      <c r="D63" s="6">
        <f>C19</f>
        <v>1.1124584379357148</v>
      </c>
      <c r="E63" s="6">
        <f>D19</f>
        <v>2.5993019270997952</v>
      </c>
      <c r="L63" s="10">
        <f t="shared" si="4"/>
        <v>0.4905243765476263</v>
      </c>
      <c r="M63" s="10">
        <f t="shared" si="5"/>
        <v>0.46710318069914525</v>
      </c>
      <c r="N63">
        <f t="shared" si="6"/>
        <v>1.6779464846011363</v>
      </c>
    </row>
    <row r="64" spans="3:14" ht="12.75">
      <c r="C64" s="57" t="s">
        <v>34</v>
      </c>
      <c r="D64" s="39">
        <f>LN(2)/D63</f>
        <v>0.623076923076923</v>
      </c>
      <c r="E64" s="39">
        <f>LN(2)/E63</f>
        <v>0.2666666666666666</v>
      </c>
      <c r="L64" s="10">
        <f t="shared" si="4"/>
        <v>0.4939907782416835</v>
      </c>
      <c r="M64" s="10">
        <f t="shared" si="5"/>
        <v>0.47733259037593023</v>
      </c>
      <c r="N64">
        <f t="shared" si="6"/>
        <v>1.7662594574748802</v>
      </c>
    </row>
    <row r="65" spans="3:14" ht="12.75">
      <c r="C65" s="7" t="s">
        <v>56</v>
      </c>
      <c r="D65" s="39">
        <f>HLOOKUP(D68,$AX$26:$BX$28,3)</f>
        <v>0.6931471805599453</v>
      </c>
      <c r="E65" s="39">
        <f>HLOOKUP(E68,$AX$26:$BX$28,3)</f>
        <v>0.2772588722239781</v>
      </c>
      <c r="L65" s="10">
        <f t="shared" si="4"/>
        <v>0.49625474683156334</v>
      </c>
      <c r="M65" s="10">
        <f t="shared" si="5"/>
        <v>0.48657305607949736</v>
      </c>
      <c r="N65">
        <f t="shared" si="6"/>
        <v>1.8545724303486242</v>
      </c>
    </row>
    <row r="66" spans="3:14" ht="12.75">
      <c r="C66" s="7" t="s">
        <v>57</v>
      </c>
      <c r="D66" s="39">
        <f>HLOOKUP(D68+1,$AX$26:$BX$28,3)</f>
        <v>0.46209812037329684</v>
      </c>
      <c r="E66" s="39">
        <f>HLOOKUP(E68+1,$AX$26:$BX$28,3)</f>
        <v>0.23104906018664842</v>
      </c>
      <c r="L66" s="10">
        <f t="shared" si="4"/>
        <v>0.4974154399640884</v>
      </c>
      <c r="M66" s="10">
        <f t="shared" si="5"/>
        <v>0.494874313466294</v>
      </c>
      <c r="N66">
        <f t="shared" si="6"/>
        <v>1.9428854032223681</v>
      </c>
    </row>
    <row r="67" spans="3:14" ht="12.75">
      <c r="C67" s="58" t="s">
        <v>58</v>
      </c>
      <c r="D67" s="10">
        <f>VLOOKUP(D62,$AU$29:$AV$44,2)</f>
        <v>10</v>
      </c>
      <c r="E67" s="10">
        <f>VLOOKUP(E62,$AU$29:$AV$44,2)</f>
        <v>11</v>
      </c>
      <c r="L67" s="10">
        <f t="shared" si="4"/>
        <v>0.49756551683096606</v>
      </c>
      <c r="M67" s="10">
        <f t="shared" si="5"/>
        <v>0.5022839898773966</v>
      </c>
      <c r="N67">
        <f t="shared" si="6"/>
        <v>2.0311983760961123</v>
      </c>
    </row>
    <row r="68" spans="3:14" ht="12.75">
      <c r="C68" s="7" t="s">
        <v>59</v>
      </c>
      <c r="D68" s="10">
        <f>HLOOKUP(D63,$AX$25:$BW$26,2)</f>
        <v>6</v>
      </c>
      <c r="E68" s="10">
        <f>HLOOKUP(E63,$AX$25:$BW$26,2)</f>
        <v>9</v>
      </c>
      <c r="L68" s="10">
        <f t="shared" si="4"/>
        <v>0.4967915267814228</v>
      </c>
      <c r="M68" s="10">
        <f t="shared" si="5"/>
        <v>0.508847687239374</v>
      </c>
      <c r="N68">
        <f t="shared" si="6"/>
        <v>2.1195113489698563</v>
      </c>
    </row>
    <row r="69" spans="3:14" ht="12.75">
      <c r="C69" s="58" t="s">
        <v>60</v>
      </c>
      <c r="D69" s="59">
        <f>HLOOKUP(D63,$AV$25:$BW$44,D67)</f>
        <v>-0.460209033654259</v>
      </c>
      <c r="E69" s="59">
        <f>HLOOKUP(E63,$AV$25:$BW$44,E67)</f>
        <v>-0.40175680834637706</v>
      </c>
      <c r="L69" s="10">
        <f t="shared" si="4"/>
        <v>0.4951742757370334</v>
      </c>
      <c r="M69" s="10">
        <f t="shared" si="5"/>
        <v>0.5146090618318515</v>
      </c>
      <c r="N69">
        <f t="shared" si="6"/>
        <v>2.2078243218436002</v>
      </c>
    </row>
    <row r="70" spans="3:14" ht="12.75">
      <c r="C70" s="58" t="s">
        <v>61</v>
      </c>
      <c r="D70" s="35">
        <f>VLOOKUP(D62,$AU$29:$BX$45,D68+1)</f>
        <v>-0.267686672528757</v>
      </c>
      <c r="E70" s="35">
        <f>VLOOKUP(E62,$AU$29:$BX$45,E68+1)</f>
        <v>-0.335264031481295</v>
      </c>
      <c r="L70" s="10">
        <f t="shared" si="4"/>
        <v>0.4927891716448084</v>
      </c>
      <c r="M70" s="10">
        <f t="shared" si="5"/>
        <v>0.5196099010375379</v>
      </c>
      <c r="N70">
        <f t="shared" si="6"/>
        <v>2.296137294717344</v>
      </c>
    </row>
    <row r="71" spans="3:14" ht="12.75">
      <c r="C71" s="58" t="s">
        <v>62</v>
      </c>
      <c r="D71" s="59">
        <f>HLOOKUP(D63,$AV$25:$BX$45,D67+1)</f>
        <v>-0.8971548357545821</v>
      </c>
      <c r="E71" s="59">
        <f>HLOOKUP(E63,$AV$25:$BX$45,E67+1)</f>
        <v>-0.648609584857747</v>
      </c>
      <c r="L71" s="10">
        <f t="shared" si="4"/>
        <v>0.48970655013678777</v>
      </c>
      <c r="M71" s="10">
        <f t="shared" si="5"/>
        <v>0.5238901971862568</v>
      </c>
      <c r="N71">
        <f t="shared" si="6"/>
        <v>2.384450267591088</v>
      </c>
    </row>
    <row r="72" spans="3:14" ht="12.75">
      <c r="C72" s="58" t="s">
        <v>63</v>
      </c>
      <c r="D72" s="59">
        <f>HLOOKUP(D68+1,$AX$26:$BX$45,D67)</f>
        <v>-0.636294027145276</v>
      </c>
      <c r="E72" s="59">
        <f>HLOOKUP(E68+1,$AX$26:$BX$45,E67)</f>
        <v>-0.5686362358410131</v>
      </c>
      <c r="L72" s="10">
        <f t="shared" si="4"/>
        <v>0.48599198150027734</v>
      </c>
      <c r="M72" s="10">
        <f t="shared" si="5"/>
        <v>0.5274882186004674</v>
      </c>
      <c r="N72">
        <f t="shared" si="6"/>
        <v>2.472763240464832</v>
      </c>
    </row>
    <row r="73" spans="3:14" ht="12.75">
      <c r="C73" t="s">
        <v>64</v>
      </c>
      <c r="D73" s="39">
        <f aca="true" t="shared" si="7" ref="D73:E75">LOG(D64,10)</f>
        <v>-0.2054583334281871</v>
      </c>
      <c r="E73" s="39">
        <f t="shared" si="7"/>
        <v>-0.574031267727719</v>
      </c>
      <c r="L73" s="10">
        <f t="shared" si="4"/>
        <v>0.48170656000222173</v>
      </c>
      <c r="M73" s="10">
        <f t="shared" si="5"/>
        <v>0.5304405779458206</v>
      </c>
      <c r="N73">
        <f t="shared" si="6"/>
        <v>2.561076213338576</v>
      </c>
    </row>
    <row r="74" spans="3:14" ht="12.75">
      <c r="C74" t="s">
        <v>65</v>
      </c>
      <c r="D74" s="20">
        <f t="shared" si="7"/>
        <v>-0.15917453895486158</v>
      </c>
      <c r="E74" s="20">
        <f t="shared" si="7"/>
        <v>-0.5571145476268992</v>
      </c>
      <c r="L74" s="10">
        <f t="shared" si="4"/>
        <v>0.4769071765538837</v>
      </c>
      <c r="M74" s="10">
        <f t="shared" si="5"/>
        <v>0.5327822979865452</v>
      </c>
      <c r="N74">
        <f t="shared" si="6"/>
        <v>2.64938918621232</v>
      </c>
    </row>
    <row r="75" spans="3:14" ht="12.75">
      <c r="C75" t="s">
        <v>66</v>
      </c>
      <c r="D75" s="10">
        <f t="shared" si="7"/>
        <v>-0.33526579801054285</v>
      </c>
      <c r="E75" s="10">
        <f t="shared" si="7"/>
        <v>-0.636295793674524</v>
      </c>
      <c r="L75" s="10">
        <f t="shared" si="4"/>
        <v>0.4716467756477732</v>
      </c>
      <c r="M75" s="10">
        <f t="shared" si="5"/>
        <v>0.5345468748417919</v>
      </c>
      <c r="N75">
        <f t="shared" si="6"/>
        <v>2.737702159086064</v>
      </c>
    </row>
    <row r="76" spans="3:14" ht="12.75">
      <c r="C76" s="60" t="s">
        <v>67</v>
      </c>
      <c r="D76" s="60">
        <f>(D69-D70)/(D74-D75)</f>
        <v>-1.0933101515540027</v>
      </c>
      <c r="E76" s="60">
        <f>(E69-E70)/(E74-E75)</f>
        <v>-0.839754110778818</v>
      </c>
      <c r="L76" s="10">
        <f t="shared" si="4"/>
        <v>0.4659745974475175</v>
      </c>
      <c r="M76" s="10">
        <f t="shared" si="5"/>
        <v>0.5357663388355731</v>
      </c>
      <c r="N76">
        <f t="shared" si="6"/>
        <v>2.826015131959808</v>
      </c>
    </row>
    <row r="77" spans="3:14" ht="12.75">
      <c r="C77" s="60" t="s">
        <v>68</v>
      </c>
      <c r="D77" s="60">
        <f>(D71-D72)/(D74-D75)</f>
        <v>-1.4813955559646494</v>
      </c>
      <c r="E77" s="60">
        <f>(E71-E72)/(E74-E75)</f>
        <v>-1.0100036689070617</v>
      </c>
      <c r="L77" s="10">
        <f t="shared" si="4"/>
        <v>0.4599364058628746</v>
      </c>
      <c r="M77" s="10">
        <f t="shared" si="5"/>
        <v>0.5364713130295451</v>
      </c>
      <c r="N77">
        <f t="shared" si="6"/>
        <v>2.914328104833552</v>
      </c>
    </row>
    <row r="78" spans="3:14" ht="12.75">
      <c r="C78" s="60" t="s">
        <v>69</v>
      </c>
      <c r="D78" s="20">
        <f>VLOOKUP(D62,$AU$29:$AV$44,1)</f>
        <v>2</v>
      </c>
      <c r="E78" s="20">
        <f>VLOOKUP(E62,$AU$29:$AV$44,1)</f>
        <v>3</v>
      </c>
      <c r="L78" s="10">
        <f t="shared" si="4"/>
        <v>0.45357470339628364</v>
      </c>
      <c r="M78" s="10">
        <f t="shared" si="5"/>
        <v>0.5366910695246178</v>
      </c>
      <c r="N78">
        <f t="shared" si="6"/>
        <v>3.002641077707296</v>
      </c>
    </row>
    <row r="79" spans="3:14" ht="12.75">
      <c r="C79" t="s">
        <v>70</v>
      </c>
      <c r="D79" s="20">
        <f>VLOOKUP(D62,$AU$29:$AW$44,3)</f>
        <v>3</v>
      </c>
      <c r="E79" s="20">
        <f>VLOOKUP(E62,$AU$29:$AW$44,3)</f>
        <v>4</v>
      </c>
      <c r="L79" s="10">
        <f t="shared" si="4"/>
        <v>0.4469289335039835</v>
      </c>
      <c r="M79" s="10">
        <f t="shared" si="5"/>
        <v>0.5364535836142421</v>
      </c>
      <c r="N79">
        <f t="shared" si="6"/>
        <v>3.09095405058104</v>
      </c>
    </row>
    <row r="80" spans="3:14" ht="12.75">
      <c r="C80" t="s">
        <v>71</v>
      </c>
      <c r="D80" s="41">
        <f>(D77-D76)/(D79-D78)</f>
        <v>-0.38808540441064676</v>
      </c>
      <c r="E80" s="41">
        <f>(E77-E76)/(E79-E78)</f>
        <v>-0.17024955812824372</v>
      </c>
      <c r="L80" s="10">
        <f t="shared" si="4"/>
        <v>0.4400356711737836</v>
      </c>
      <c r="M80" s="10">
        <f t="shared" si="5"/>
        <v>0.5357855858691917</v>
      </c>
      <c r="N80">
        <f t="shared" si="6"/>
        <v>3.1792670234547837</v>
      </c>
    </row>
    <row r="81" spans="3:14" ht="12.75">
      <c r="C81" t="s">
        <v>72</v>
      </c>
      <c r="D81" s="41">
        <f>D76+((D62-D78)*D80)</f>
        <v>-1.0933101515540027</v>
      </c>
      <c r="E81" s="41">
        <f>E76+((E62-E78)*E80)</f>
        <v>-0.839754110778818</v>
      </c>
      <c r="L81" s="10">
        <f t="shared" si="4"/>
        <v>0.4329288023828137</v>
      </c>
      <c r="M81" s="10">
        <f t="shared" si="5"/>
        <v>0.5347126122307337</v>
      </c>
      <c r="N81">
        <f t="shared" si="6"/>
        <v>3.2675799963285277</v>
      </c>
    </row>
    <row r="82" spans="3:14" ht="12.75">
      <c r="C82" t="s">
        <v>73</v>
      </c>
      <c r="D82" s="10">
        <f>(D72-D70)/(D79-D78)</f>
        <v>-0.36860735461651906</v>
      </c>
      <c r="E82" s="10">
        <f>(E72-E70)/(E79-E78)</f>
        <v>-0.23337220435971806</v>
      </c>
      <c r="L82" s="10">
        <f t="shared" si="4"/>
        <v>0.42563969306196864</v>
      </c>
      <c r="M82" s="10">
        <f t="shared" si="5"/>
        <v>0.5332590521862837</v>
      </c>
      <c r="N82">
        <f t="shared" si="6"/>
        <v>3.3558929692022716</v>
      </c>
    </row>
    <row r="83" spans="3:14" ht="12.75">
      <c r="C83" s="60" t="s">
        <v>74</v>
      </c>
      <c r="D83" s="39">
        <f>D70+(D82*(D62-D78))+(D81*(D73-D75))</f>
        <v>-0.4096064913041332</v>
      </c>
      <c r="E83" s="39">
        <f>E70+(E82*(E62-E78))+(E81*(E73-E75))</f>
        <v>-0.38755092310081896</v>
      </c>
      <c r="L83" s="10">
        <f t="shared" si="4"/>
        <v>0.4181973481591246</v>
      </c>
      <c r="M83" s="10">
        <f t="shared" si="5"/>
        <v>0.5314481950989097</v>
      </c>
      <c r="N83">
        <f t="shared" si="6"/>
        <v>3.4442059420760156</v>
      </c>
    </row>
    <row r="84" spans="3:14" ht="12.75">
      <c r="C84" s="61"/>
      <c r="D84" s="62"/>
      <c r="L84" s="10">
        <f t="shared" si="4"/>
        <v>0.4106285613604858</v>
      </c>
      <c r="M84" s="10">
        <f t="shared" si="5"/>
        <v>0.5293022747594543</v>
      </c>
      <c r="N84">
        <f t="shared" si="6"/>
        <v>3.5325189149497596</v>
      </c>
    </row>
    <row r="85" spans="2:14" ht="12.75">
      <c r="B85" s="63"/>
      <c r="C85" s="64" t="s">
        <v>75</v>
      </c>
      <c r="D85" s="64" t="s">
        <v>76</v>
      </c>
      <c r="E85" s="63"/>
      <c r="F85" s="64" t="s">
        <v>75</v>
      </c>
      <c r="G85" s="65" t="s">
        <v>76</v>
      </c>
      <c r="L85" s="10">
        <f t="shared" si="4"/>
        <v>0.4029580559984503</v>
      </c>
      <c r="M85" s="10">
        <f t="shared" si="5"/>
        <v>0.5268425122275158</v>
      </c>
      <c r="N85">
        <f t="shared" si="6"/>
        <v>3.6208318878235035</v>
      </c>
    </row>
    <row r="86" spans="2:14" ht="12.75">
      <c r="B86" s="66">
        <f aca="true" t="shared" si="8" ref="B86:B91">D86/D$62</f>
        <v>1.0057991622034983</v>
      </c>
      <c r="C86" s="41">
        <f>10^D83</f>
        <v>0.38939781359271675</v>
      </c>
      <c r="D86" s="41">
        <f aca="true" t="shared" si="9" ref="D86:D91">1/(C86-D$64)*LN(C86/D$64)</f>
        <v>2.0115983244069966</v>
      </c>
      <c r="E86" s="66">
        <f aca="true" t="shared" si="10" ref="E86:E91">G86/E$62</f>
        <v>1.0007799818148777</v>
      </c>
      <c r="F86" s="41">
        <f>10^E83</f>
        <v>0.40968406958461034</v>
      </c>
      <c r="G86" s="67">
        <f aca="true" t="shared" si="11" ref="G86:G91">1/(F86-E$64)*LN(F86/E$64)</f>
        <v>3.0023399454446333</v>
      </c>
      <c r="L86" s="10">
        <f t="shared" si="4"/>
        <v>0.3952086176451502</v>
      </c>
      <c r="M86" s="10">
        <f t="shared" si="5"/>
        <v>0.5240891570251038</v>
      </c>
      <c r="N86">
        <f t="shared" si="6"/>
        <v>3.7091448606972475</v>
      </c>
    </row>
    <row r="87" spans="2:14" ht="12.75">
      <c r="B87" s="66">
        <f t="shared" si="8"/>
        <v>1.0031203670823075</v>
      </c>
      <c r="C87" s="41">
        <f>C86*B86</f>
        <v>0.3916559946754285</v>
      </c>
      <c r="D87" s="41">
        <f t="shared" si="9"/>
        <v>2.006240734164615</v>
      </c>
      <c r="E87" s="66">
        <f t="shared" si="10"/>
        <v>1.0003620660647998</v>
      </c>
      <c r="F87" s="41">
        <f>F86*E86</f>
        <v>0.41000361570873145</v>
      </c>
      <c r="G87" s="67">
        <f t="shared" si="11"/>
        <v>3.0010861981943995</v>
      </c>
      <c r="L87" s="10">
        <f t="shared" si="4"/>
        <v>0.3874012188631492</v>
      </c>
      <c r="M87" s="10">
        <f t="shared" si="5"/>
        <v>0.5210615267444544</v>
      </c>
      <c r="N87">
        <f t="shared" si="6"/>
        <v>3.7974578335709914</v>
      </c>
    </row>
    <row r="88" spans="2:14" ht="12.75">
      <c r="B88" s="66">
        <f t="shared" si="8"/>
        <v>1.001678871784258</v>
      </c>
      <c r="C88" s="41">
        <f>C87*B87</f>
        <v>0.3928781051488021</v>
      </c>
      <c r="D88" s="41">
        <f t="shared" si="9"/>
        <v>2.003357743568516</v>
      </c>
      <c r="E88" s="66">
        <f t="shared" si="10"/>
        <v>1.0001680721154702</v>
      </c>
      <c r="F88" s="41">
        <f>F87*E87</f>
        <v>0.4101520641044248</v>
      </c>
      <c r="G88" s="67">
        <f t="shared" si="11"/>
        <v>3.000504216346411</v>
      </c>
      <c r="L88" s="10">
        <f t="shared" si="4"/>
        <v>0.3795551365586403</v>
      </c>
      <c r="M88" s="10">
        <f t="shared" si="5"/>
        <v>0.5177780451292145</v>
      </c>
      <c r="N88">
        <f t="shared" si="6"/>
        <v>3.8857708064447354</v>
      </c>
    </row>
    <row r="89" spans="2:14" ht="12.75">
      <c r="B89" s="66">
        <f t="shared" si="8"/>
        <v>1.000903262775699</v>
      </c>
      <c r="C89" s="41">
        <f>C88*B88</f>
        <v>0.3935376971141892</v>
      </c>
      <c r="D89" s="41">
        <f t="shared" si="9"/>
        <v>2.001806525551398</v>
      </c>
      <c r="E89" s="66">
        <f t="shared" si="10"/>
        <v>1.0000780199384176</v>
      </c>
      <c r="F89" s="41">
        <f>F88*E88</f>
        <v>0.4102209992295033</v>
      </c>
      <c r="G89" s="67">
        <f t="shared" si="11"/>
        <v>3.000234059815253</v>
      </c>
      <c r="L89" s="10">
        <f t="shared" si="4"/>
        <v>0.37168806235777785</v>
      </c>
      <c r="M89" s="10">
        <f t="shared" si="5"/>
        <v>0.5142562786860639</v>
      </c>
      <c r="N89">
        <f t="shared" si="6"/>
        <v>3.9740837793184793</v>
      </c>
    </row>
    <row r="90" spans="2:14" ht="12.75">
      <c r="B90" s="66">
        <f t="shared" si="8"/>
        <v>1.0004859622352706</v>
      </c>
      <c r="C90" s="41">
        <f>C89*B89</f>
        <v>0.39389316506682676</v>
      </c>
      <c r="D90" s="41">
        <f t="shared" si="9"/>
        <v>2.0009719244705413</v>
      </c>
      <c r="E90" s="66">
        <f t="shared" si="10"/>
        <v>1.0000362173367976</v>
      </c>
      <c r="F90" s="41">
        <f>F89*E89</f>
        <v>0.41025300464660075</v>
      </c>
      <c r="G90" s="67">
        <f t="shared" si="11"/>
        <v>3.000108652010393</v>
      </c>
      <c r="L90" s="10">
        <f t="shared" si="4"/>
        <v>0.36381620640340906</v>
      </c>
      <c r="M90" s="10">
        <f t="shared" si="5"/>
        <v>0.5105129718817172</v>
      </c>
      <c r="N90">
        <f t="shared" si="6"/>
        <v>4.062396752192224</v>
      </c>
    </row>
    <row r="91" spans="2:14" ht="12.75">
      <c r="B91" s="68">
        <f t="shared" si="8"/>
        <v>1.0002614487329173</v>
      </c>
      <c r="C91" s="69">
        <f>C90*B90</f>
        <v>0.39408458226978044</v>
      </c>
      <c r="D91" s="69">
        <f t="shared" si="9"/>
        <v>2.0005228974658347</v>
      </c>
      <c r="E91" s="68">
        <f t="shared" si="10"/>
        <v>1.0000168123286728</v>
      </c>
      <c r="F91" s="69">
        <f>F90*E90</f>
        <v>0.4102678629178423</v>
      </c>
      <c r="G91" s="70">
        <f t="shared" si="11"/>
        <v>3.0000504369860184</v>
      </c>
      <c r="L91" s="10">
        <f t="shared" si="4"/>
        <v>0.35595439494739667</v>
      </c>
      <c r="M91" s="10">
        <f t="shared" si="5"/>
        <v>0.5065640809782567</v>
      </c>
      <c r="N91">
        <f t="shared" si="6"/>
        <v>4.150709725065968</v>
      </c>
    </row>
    <row r="92" spans="3:14" ht="12.75">
      <c r="C92" s="10"/>
      <c r="D92" s="10"/>
      <c r="G92" s="59"/>
      <c r="L92" s="10">
        <f t="shared" si="4"/>
        <v>0.348116162092846</v>
      </c>
      <c r="M92" s="10">
        <f t="shared" si="5"/>
        <v>0.5024248065577852</v>
      </c>
      <c r="N92">
        <f t="shared" si="6"/>
        <v>4.2390226979397125</v>
      </c>
    </row>
    <row r="93" spans="12:14" ht="12.75">
      <c r="L93" s="10">
        <f t="shared" si="4"/>
        <v>0.3403138360208292</v>
      </c>
      <c r="M93" s="10">
        <f t="shared" si="5"/>
        <v>0.4981096247855245</v>
      </c>
      <c r="N93">
        <f t="shared" si="6"/>
        <v>4.327335670813457</v>
      </c>
    </row>
    <row r="94" spans="12:14" ht="12.75">
      <c r="L94" s="10">
        <f t="shared" si="4"/>
        <v>0.3325586200175501</v>
      </c>
      <c r="M94" s="10">
        <f t="shared" si="5"/>
        <v>0.49363231745867336</v>
      </c>
      <c r="N94">
        <f t="shared" si="6"/>
        <v>4.415648643687201</v>
      </c>
    </row>
    <row r="95" spans="12:14" ht="12.75">
      <c r="L95" s="10">
        <f t="shared" si="4"/>
        <v>0.3248606686002723</v>
      </c>
      <c r="M95" s="10">
        <f t="shared" si="5"/>
        <v>0.48900600088660146</v>
      </c>
      <c r="N95">
        <f t="shared" si="6"/>
        <v>4.503961616560946</v>
      </c>
    </row>
    <row r="96" spans="12:14" ht="12.75">
      <c r="L96" s="10">
        <f t="shared" si="4"/>
        <v>0.3172291590236805</v>
      </c>
      <c r="M96" s="10">
        <f t="shared" si="5"/>
        <v>0.4842431536462797</v>
      </c>
      <c r="N96">
        <f t="shared" si="6"/>
        <v>4.59227458943469</v>
      </c>
    </row>
    <row r="97" spans="12:14" ht="12.75">
      <c r="L97" s="10">
        <f t="shared" si="4"/>
        <v>0.3096723584326034</v>
      </c>
      <c r="M97" s="10">
        <f t="shared" si="5"/>
        <v>0.4793556432552297</v>
      </c>
      <c r="N97">
        <f t="shared" si="6"/>
        <v>4.6805875623084345</v>
      </c>
    </row>
    <row r="98" spans="12:14" ht="12.75">
      <c r="L98" s="10">
        <f t="shared" si="4"/>
        <v>0.3021976869121566</v>
      </c>
      <c r="M98" s="10">
        <f t="shared" si="5"/>
        <v>0.47435475180271514</v>
      </c>
      <c r="N98">
        <f t="shared" si="6"/>
        <v>4.768900535182179</v>
      </c>
    </row>
    <row r="99" spans="12:14" ht="12.75">
      <c r="L99" s="10">
        <f t="shared" si="4"/>
        <v>0.29481177667230324</v>
      </c>
      <c r="M99" s="10">
        <f t="shared" si="5"/>
        <v>0.4692512005784073</v>
      </c>
      <c r="N99">
        <f t="shared" si="6"/>
        <v>4.857213508055923</v>
      </c>
    </row>
    <row r="100" spans="12:14" ht="12.75">
      <c r="L100" s="10">
        <f t="shared" si="4"/>
        <v>0.28752052759054925</v>
      </c>
      <c r="M100" s="10">
        <f t="shared" si="5"/>
        <v>0.4640551737362967</v>
      </c>
      <c r="N100">
        <f t="shared" si="6"/>
        <v>4.945526480929668</v>
      </c>
    </row>
    <row r="101" spans="12:14" ht="12.75">
      <c r="L101" s="10">
        <f t="shared" si="4"/>
        <v>0.2803291593239445</v>
      </c>
      <c r="M101" s="10">
        <f t="shared" si="5"/>
        <v>0.45877634103024123</v>
      </c>
      <c r="N101">
        <f t="shared" si="6"/>
        <v>5.033839453803412</v>
      </c>
    </row>
    <row r="102" spans="12:14" ht="12.75">
      <c r="L102" s="10">
        <f t="shared" si="4"/>
        <v>0.2732422601896926</v>
      </c>
      <c r="M102" s="10">
        <f t="shared" si="5"/>
        <v>0.45342387965619557</v>
      </c>
      <c r="N102">
        <f t="shared" si="6"/>
        <v>5.1221524266771565</v>
      </c>
    </row>
    <row r="103" spans="12:14" ht="12.75">
      <c r="L103" s="10">
        <f t="shared" si="4"/>
        <v>0.26626383300247514</v>
      </c>
      <c r="M103" s="10">
        <f t="shared" si="5"/>
        <v>0.4480064952348667</v>
      </c>
      <c r="N103">
        <f t="shared" si="6"/>
        <v>5.210465399550901</v>
      </c>
    </row>
    <row r="104" spans="12:14" ht="12.75">
      <c r="L104" s="10">
        <f t="shared" si="4"/>
        <v>0.25939733804600196</v>
      </c>
      <c r="M104" s="10">
        <f t="shared" si="5"/>
        <v>0.44253244196730396</v>
      </c>
      <c r="N104">
        <f t="shared" si="6"/>
        <v>5.298778372424645</v>
      </c>
    </row>
    <row r="105" spans="12:14" ht="12.75">
      <c r="L105" s="10">
        <f t="shared" si="4"/>
        <v>0.2526457333463039</v>
      </c>
      <c r="M105" s="10">
        <f t="shared" si="5"/>
        <v>0.43700954199472086</v>
      </c>
      <c r="N105">
        <f t="shared" si="6"/>
        <v>5.38709134529839</v>
      </c>
    </row>
    <row r="106" spans="12:14" ht="12.75">
      <c r="L106" s="10">
        <f t="shared" si="4"/>
        <v>0.24601151240482688</v>
      </c>
      <c r="M106" s="10">
        <f t="shared" si="5"/>
        <v>0.43144520399269876</v>
      </c>
      <c r="N106">
        <f t="shared" si="6"/>
        <v>5.475404318172134</v>
      </c>
    </row>
    <row r="107" spans="12:14" ht="12.75">
      <c r="L107" s="10">
        <f t="shared" si="4"/>
        <v>0.23949673954046194</v>
      </c>
      <c r="M107" s="10">
        <f t="shared" si="5"/>
        <v>0.425846441028796</v>
      </c>
      <c r="N107">
        <f t="shared" si="6"/>
        <v>5.5637172910458785</v>
      </c>
    </row>
    <row r="108" spans="12:14" ht="12.75">
      <c r="L108" s="10">
        <f aca="true" t="shared" si="12" ref="L108:L171">C$17*((EXP(-C$14*$N108))-(EXP(-C$15*$N108)))</f>
        <v>0.23310308298121574</v>
      </c>
      <c r="M108" s="10">
        <f aca="true" t="shared" si="13" ref="M108:M171">D$17*((EXP(-D$14*$N108))-(EXP(-D$15*$N108)))</f>
        <v>0.4202198877115204</v>
      </c>
      <c r="N108">
        <f t="shared" si="6"/>
        <v>5.652030263919623</v>
      </c>
    </row>
    <row r="109" spans="12:14" ht="12.75">
      <c r="L109" s="10">
        <f t="shared" si="12"/>
        <v>0.22683184583824975</v>
      </c>
      <c r="M109" s="10">
        <f t="shared" si="13"/>
        <v>0.41457181665758663</v>
      </c>
      <c r="N109">
        <f aca="true" t="shared" si="14" ref="N109:N172">N108+N$286</f>
        <v>5.740343236793367</v>
      </c>
    </row>
    <row r="110" spans="12:14" ht="12.75">
      <c r="L110" s="10">
        <f t="shared" si="12"/>
        <v>0.22068399508750067</v>
      </c>
      <c r="M110" s="10">
        <f t="shared" si="13"/>
        <v>0.4089081543033746</v>
      </c>
      <c r="N110">
        <f t="shared" si="14"/>
        <v>5.828656209667112</v>
      </c>
    </row>
    <row r="111" spans="12:14" ht="12.75">
      <c r="L111" s="10">
        <f t="shared" si="12"/>
        <v>0.21466018867698083</v>
      </c>
      <c r="M111" s="10">
        <f t="shared" si="13"/>
        <v>0.40323449608555584</v>
      </c>
      <c r="N111">
        <f t="shared" si="14"/>
        <v>5.916969182540856</v>
      </c>
    </row>
    <row r="112" spans="12:14" ht="12.75">
      <c r="L112" s="10">
        <f t="shared" si="12"/>
        <v>0.20876080087114365</v>
      </c>
      <c r="M112" s="10">
        <f t="shared" si="13"/>
        <v>0.397556121014919</v>
      </c>
      <c r="N112">
        <f t="shared" si="14"/>
        <v>6.0052821554146005</v>
      </c>
    </row>
    <row r="113" spans="12:14" ht="12.75">
      <c r="L113" s="10">
        <f t="shared" si="12"/>
        <v>0.20298594593736163</v>
      </c>
      <c r="M113" s="10">
        <f t="shared" si="13"/>
        <v>0.39187800566653763</v>
      </c>
      <c r="N113">
        <f t="shared" si="14"/>
        <v>6.093595128288345</v>
      </c>
    </row>
    <row r="114" spans="12:14" ht="12.75">
      <c r="L114" s="10">
        <f t="shared" si="12"/>
        <v>0.19733550027357127</v>
      </c>
      <c r="M114" s="10">
        <f t="shared" si="13"/>
        <v>0.386204837608565</v>
      </c>
      <c r="N114">
        <f t="shared" si="14"/>
        <v>6.181908101162089</v>
      </c>
    </row>
    <row r="115" spans="12:14" ht="12.75">
      <c r="L115" s="10">
        <f t="shared" si="12"/>
        <v>0.1918091230704867</v>
      </c>
      <c r="M115" s="10">
        <f t="shared" si="13"/>
        <v>0.3805410282911091</v>
      </c>
      <c r="N115">
        <f t="shared" si="14"/>
        <v>6.270221074035834</v>
      </c>
    </row>
    <row r="116" spans="12:14" ht="12.75">
      <c r="L116" s="10">
        <f t="shared" si="12"/>
        <v>0.18640627559644327</v>
      </c>
      <c r="M116" s="10">
        <f t="shared" si="13"/>
        <v>0.3748907254158443</v>
      </c>
      <c r="N116">
        <f t="shared" si="14"/>
        <v>6.358534046909578</v>
      </c>
    </row>
    <row r="117" spans="12:14" ht="12.75">
      <c r="L117" s="10">
        <f t="shared" si="12"/>
        <v>0.18112623918788684</v>
      </c>
      <c r="M117" s="10">
        <f t="shared" si="13"/>
        <v>0.3692578248062516</v>
      </c>
      <c r="N117">
        <f t="shared" si="14"/>
        <v>6.4468470197833225</v>
      </c>
    </row>
    <row r="118" spans="12:14" ht="12.75">
      <c r="L118" s="10">
        <f t="shared" si="12"/>
        <v>0.17596813202376477</v>
      </c>
      <c r="M118" s="10">
        <f t="shared" si="13"/>
        <v>0.36364598179762947</v>
      </c>
      <c r="N118">
        <f t="shared" si="14"/>
        <v>6.535159992657067</v>
      </c>
    </row>
    <row r="119" spans="12:14" ht="12.75">
      <c r="L119" s="10">
        <f t="shared" si="12"/>
        <v>0.17093092475757843</v>
      </c>
      <c r="M119" s="10">
        <f t="shared" si="13"/>
        <v>0.35805862216531653</v>
      </c>
      <c r="N119">
        <f t="shared" si="14"/>
        <v>6.623472965530811</v>
      </c>
    </row>
    <row r="120" spans="12:14" ht="12.75">
      <c r="L120" s="10">
        <f t="shared" si="12"/>
        <v>0.16601345507661025</v>
      </c>
      <c r="M120" s="10">
        <f t="shared" si="13"/>
        <v>0.35249895260886666</v>
      </c>
      <c r="N120">
        <f t="shared" si="14"/>
        <v>6.711785938404556</v>
      </c>
    </row>
    <row r="121" spans="12:14" ht="12.75">
      <c r="L121" s="10">
        <f t="shared" si="12"/>
        <v>0.16121444125383338</v>
      </c>
      <c r="M121" s="10">
        <f t="shared" si="13"/>
        <v>0.3469699708092655</v>
      </c>
      <c r="N121">
        <f t="shared" si="14"/>
        <v>6.8000989112783</v>
      </c>
    </row>
    <row r="122" spans="12:14" ht="12.75">
      <c r="L122" s="10">
        <f t="shared" si="12"/>
        <v>0.15653249475422748</v>
      </c>
      <c r="M122" s="10">
        <f t="shared" si="13"/>
        <v>0.34147447507563494</v>
      </c>
      <c r="N122">
        <f t="shared" si="14"/>
        <v>6.8884118841520445</v>
      </c>
    </row>
    <row r="123" spans="12:14" ht="12.75">
      <c r="L123" s="10">
        <f t="shared" si="12"/>
        <v>0.15196613195365183</v>
      </c>
      <c r="M123" s="10">
        <f t="shared" si="13"/>
        <v>0.33601507359725735</v>
      </c>
      <c r="N123">
        <f t="shared" si="14"/>
        <v>6.976724857025789</v>
      </c>
    </row>
    <row r="124" spans="12:14" ht="12.75">
      <c r="L124" s="10">
        <f t="shared" si="12"/>
        <v>0.14751378502505988</v>
      </c>
      <c r="M124" s="10">
        <f t="shared" si="13"/>
        <v>0.33059419331615997</v>
      </c>
      <c r="N124">
        <f t="shared" si="14"/>
        <v>7.065037829899533</v>
      </c>
    </row>
    <row r="125" spans="12:14" ht="12.75">
      <c r="L125" s="10">
        <f t="shared" si="12"/>
        <v>0.14317381204365276</v>
      </c>
      <c r="M125" s="10">
        <f t="shared" si="13"/>
        <v>0.3252140884349324</v>
      </c>
      <c r="N125">
        <f t="shared" si="14"/>
        <v>7.153350802773278</v>
      </c>
    </row>
    <row r="126" spans="12:14" ht="12.75">
      <c r="L126" s="10">
        <f t="shared" si="12"/>
        <v>0.13894450635957012</v>
      </c>
      <c r="M126" s="10">
        <f t="shared" si="13"/>
        <v>0.31987684857389553</v>
      </c>
      <c r="N126">
        <f t="shared" si="14"/>
        <v>7.241663775647022</v>
      </c>
    </row>
    <row r="127" spans="12:14" ht="12.75">
      <c r="L127" s="10">
        <f t="shared" si="12"/>
        <v>0.13482410528388314</v>
      </c>
      <c r="M127" s="10">
        <f t="shared" si="13"/>
        <v>0.31458440659121706</v>
      </c>
      <c r="N127">
        <f t="shared" si="14"/>
        <v>7.3299767485207665</v>
      </c>
    </row>
    <row r="128" spans="12:14" ht="12.75">
      <c r="L128" s="10">
        <f t="shared" si="12"/>
        <v>0.13081079813097632</v>
      </c>
      <c r="M128" s="10">
        <f t="shared" si="13"/>
        <v>0.30933854607905426</v>
      </c>
      <c r="N128">
        <f t="shared" si="14"/>
        <v>7.418289721394511</v>
      </c>
    </row>
    <row r="129" spans="12:14" ht="12.75">
      <c r="L129" s="10">
        <f t="shared" si="12"/>
        <v>0.12690273365788673</v>
      </c>
      <c r="M129" s="10">
        <f t="shared" si="13"/>
        <v>0.30414090854831627</v>
      </c>
      <c r="N129">
        <f t="shared" si="14"/>
        <v>7.506602694268255</v>
      </c>
    </row>
    <row r="130" spans="12:14" ht="12.75">
      <c r="L130" s="10">
        <f t="shared" si="12"/>
        <v>0.1230980269387848</v>
      </c>
      <c r="M130" s="10">
        <f t="shared" si="13"/>
        <v>0.2989930003141662</v>
      </c>
      <c r="N130">
        <f t="shared" si="14"/>
        <v>7.594915667142</v>
      </c>
    </row>
    <row r="131" spans="12:14" ht="12.75">
      <c r="L131" s="10">
        <f t="shared" si="12"/>
        <v>0.11939476571053617</v>
      </c>
      <c r="M131" s="10">
        <f t="shared" si="13"/>
        <v>0.29389619909392534</v>
      </c>
      <c r="N131">
        <f t="shared" si="14"/>
        <v>7.683228640015744</v>
      </c>
    </row>
    <row r="132" spans="12:14" ht="12.75">
      <c r="L132" s="10">
        <f t="shared" si="12"/>
        <v>0.11579101622316483</v>
      </c>
      <c r="M132" s="10">
        <f t="shared" si="13"/>
        <v>0.2888517603286037</v>
      </c>
      <c r="N132">
        <f t="shared" si="14"/>
        <v>7.7715416128894885</v>
      </c>
    </row>
    <row r="133" spans="12:14" ht="12.75">
      <c r="L133" s="10">
        <f t="shared" si="12"/>
        <v>0.11228482862703856</v>
      </c>
      <c r="M133" s="10">
        <f t="shared" si="13"/>
        <v>0.28386082323886214</v>
      </c>
      <c r="N133">
        <f t="shared" si="14"/>
        <v>7.859854585763233</v>
      </c>
    </row>
    <row r="134" spans="12:14" ht="12.75">
      <c r="L134" s="10">
        <f t="shared" si="12"/>
        <v>0.10887424192671225</v>
      </c>
      <c r="M134" s="10">
        <f t="shared" si="13"/>
        <v>0.278924416625799</v>
      </c>
      <c r="N134">
        <f t="shared" si="14"/>
        <v>7.948167558636977</v>
      </c>
    </row>
    <row r="135" spans="12:14" ht="12.75">
      <c r="L135" s="10">
        <f t="shared" si="12"/>
        <v>0.10555728852958789</v>
      </c>
      <c r="M135" s="10">
        <f t="shared" si="13"/>
        <v>0.2740434644265648</v>
      </c>
      <c r="N135">
        <f t="shared" si="14"/>
        <v>8.03648053151072</v>
      </c>
    </row>
    <row r="136" spans="12:14" ht="12.75">
      <c r="L136" s="10">
        <f t="shared" si="12"/>
        <v>0.10233199841586967</v>
      </c>
      <c r="M136" s="10">
        <f t="shared" si="13"/>
        <v>0.26921879103443297</v>
      </c>
      <c r="N136">
        <f t="shared" si="14"/>
        <v>8.124793504384465</v>
      </c>
    </row>
    <row r="137" spans="12:14" ht="12.75">
      <c r="L137" s="10">
        <f t="shared" si="12"/>
        <v>0.09919640295471485</v>
      </c>
      <c r="M137" s="10">
        <f t="shared" si="13"/>
        <v>0.26445112639258933</v>
      </c>
      <c r="N137">
        <f t="shared" si="14"/>
        <v>8.21310647725821</v>
      </c>
    </row>
    <row r="138" spans="12:14" ht="12.75">
      <c r="L138" s="10">
        <f t="shared" si="12"/>
        <v>0.09614853838998759</v>
      </c>
      <c r="M138" s="10">
        <f t="shared" si="13"/>
        <v>0.25974111087054996</v>
      </c>
      <c r="N138">
        <f t="shared" si="14"/>
        <v>8.301419450131954</v>
      </c>
    </row>
    <row r="139" spans="12:14" ht="12.75">
      <c r="L139" s="10">
        <f t="shared" si="12"/>
        <v>0.09318644901761705</v>
      </c>
      <c r="M139" s="10">
        <f t="shared" si="13"/>
        <v>0.2550892999317851</v>
      </c>
      <c r="N139">
        <f t="shared" si="14"/>
        <v>8.389732423005698</v>
      </c>
    </row>
    <row r="140" spans="12:14" ht="12.75">
      <c r="L140" s="10">
        <f t="shared" si="12"/>
        <v>0.09030819007523652</v>
      </c>
      <c r="M140" s="10">
        <f t="shared" si="13"/>
        <v>0.25049616860080004</v>
      </c>
      <c r="N140">
        <f t="shared" si="14"/>
        <v>8.478045395879443</v>
      </c>
    </row>
    <row r="141" spans="12:14" ht="12.75">
      <c r="L141" s="10">
        <f t="shared" si="12"/>
        <v>0.08751183036353079</v>
      </c>
      <c r="M141" s="10">
        <f t="shared" si="13"/>
        <v>0.2459621157376099</v>
      </c>
      <c r="N141">
        <f t="shared" si="14"/>
        <v>8.566358368753187</v>
      </c>
    </row>
    <row r="142" spans="12:14" ht="12.75">
      <c r="L142" s="10">
        <f t="shared" si="12"/>
        <v>0.08479545461754019</v>
      </c>
      <c r="M142" s="10">
        <f t="shared" si="13"/>
        <v>0.24148746812724467</v>
      </c>
      <c r="N142">
        <f t="shared" si="14"/>
        <v>8.654671341626932</v>
      </c>
    </row>
    <row r="143" spans="12:14" ht="12.75">
      <c r="L143" s="10">
        <f t="shared" si="12"/>
        <v>0.08215716564506075</v>
      </c>
      <c r="M143" s="10">
        <f t="shared" si="13"/>
        <v>0.23707248439163311</v>
      </c>
      <c r="N143">
        <f t="shared" si="14"/>
        <v>8.742984314500676</v>
      </c>
    </row>
    <row r="144" spans="12:14" ht="12.75">
      <c r="L144" s="10">
        <f t="shared" si="12"/>
        <v>0.07959508624823447</v>
      </c>
      <c r="M144" s="10">
        <f t="shared" si="13"/>
        <v>0.23271735873093172</v>
      </c>
      <c r="N144">
        <f t="shared" si="14"/>
        <v>8.83129728737442</v>
      </c>
    </row>
    <row r="145" spans="12:14" ht="12.75">
      <c r="L145" s="10">
        <f t="shared" si="12"/>
        <v>0.07710736094343605</v>
      </c>
      <c r="M145" s="10">
        <f t="shared" si="13"/>
        <v>0.2284222245010974</v>
      </c>
      <c r="N145">
        <f t="shared" si="14"/>
        <v>8.919610260248165</v>
      </c>
    </row>
    <row r="146" spans="12:14" ht="12.75">
      <c r="L146" s="10">
        <f t="shared" si="12"/>
        <v>0.07469215749363677</v>
      </c>
      <c r="M146" s="10">
        <f t="shared" si="13"/>
        <v>0.22418715763424532</v>
      </c>
      <c r="N146">
        <f t="shared" si="14"/>
        <v>9.00792323312191</v>
      </c>
    </row>
    <row r="147" spans="12:14" ht="12.75">
      <c r="L147" s="10">
        <f t="shared" si="12"/>
        <v>0.07234766826654855</v>
      </c>
      <c r="M147" s="10">
        <f t="shared" si="13"/>
        <v>0.22001217990808</v>
      </c>
      <c r="N147">
        <f t="shared" si="14"/>
        <v>9.096236205995654</v>
      </c>
    </row>
    <row r="148" spans="12:14" ht="12.75">
      <c r="L148" s="10">
        <f t="shared" si="12"/>
        <v>0.07007211143102943</v>
      </c>
      <c r="M148" s="10">
        <f t="shared" si="13"/>
        <v>0.21589726207045223</v>
      </c>
      <c r="N148">
        <f t="shared" si="14"/>
        <v>9.184549178869398</v>
      </c>
    </row>
    <row r="149" spans="12:14" ht="12.75">
      <c r="L149" s="10">
        <f t="shared" si="12"/>
        <v>0.06786373200345477</v>
      </c>
      <c r="M149" s="10">
        <f t="shared" si="13"/>
        <v>0.21184232682486034</v>
      </c>
      <c r="N149">
        <f t="shared" si="14"/>
        <v>9.272862151743142</v>
      </c>
    </row>
    <row r="150" spans="12:14" ht="12.75">
      <c r="L150" s="10">
        <f t="shared" si="12"/>
        <v>0.06572080275502745</v>
      </c>
      <c r="M150" s="10">
        <f t="shared" si="13"/>
        <v>0.20784725168249235</v>
      </c>
      <c r="N150">
        <f t="shared" si="14"/>
        <v>9.361175124616887</v>
      </c>
    </row>
    <row r="151" spans="12:14" ht="12.75">
      <c r="L151" s="10">
        <f t="shared" si="12"/>
        <v>0.0636416249903126</v>
      </c>
      <c r="M151" s="10">
        <f t="shared" si="13"/>
        <v>0.20391187168619215</v>
      </c>
      <c r="N151">
        <f t="shared" si="14"/>
        <v>9.449488097490631</v>
      </c>
    </row>
    <row r="152" spans="12:14" ht="12.75">
      <c r="L152" s="10">
        <f t="shared" si="12"/>
        <v>0.06162452920663511</v>
      </c>
      <c r="M152" s="10">
        <f t="shared" si="13"/>
        <v>0.20003598201152575</v>
      </c>
      <c r="N152">
        <f t="shared" si="14"/>
        <v>9.537801070364376</v>
      </c>
    </row>
    <row r="153" spans="12:14" ht="12.75">
      <c r="L153" s="10">
        <f t="shared" si="12"/>
        <v>0.05966787564336671</v>
      </c>
      <c r="M153" s="10">
        <f t="shared" si="13"/>
        <v>0.1962193404499252</v>
      </c>
      <c r="N153">
        <f t="shared" si="14"/>
        <v>9.62611404323812</v>
      </c>
    </row>
    <row r="154" spans="12:14" ht="12.75">
      <c r="L154" s="10">
        <f t="shared" si="12"/>
        <v>0.057770054729557666</v>
      </c>
      <c r="M154" s="10">
        <f t="shared" si="13"/>
        <v>0.19246166977869691</v>
      </c>
      <c r="N154">
        <f t="shared" si="14"/>
        <v>9.714427016111864</v>
      </c>
    </row>
    <row r="155" spans="12:14" ht="12.75">
      <c r="L155" s="10">
        <f t="shared" si="12"/>
        <v>0.055929487437825824</v>
      </c>
      <c r="M155" s="10">
        <f t="shared" si="13"/>
        <v>0.18876266002249653</v>
      </c>
      <c r="N155">
        <f t="shared" si="14"/>
        <v>9.802739988985609</v>
      </c>
    </row>
    <row r="156" spans="12:14" ht="12.75">
      <c r="L156" s="10">
        <f t="shared" si="12"/>
        <v>0.05414462555190911</v>
      </c>
      <c r="M156" s="10">
        <f t="shared" si="13"/>
        <v>0.1851219706106956</v>
      </c>
      <c r="N156">
        <f t="shared" si="14"/>
        <v>9.891052961859353</v>
      </c>
    </row>
    <row r="157" spans="12:14" ht="12.75">
      <c r="L157" s="10">
        <f t="shared" si="12"/>
        <v>0.052413951854808905</v>
      </c>
      <c r="M157" s="10">
        <f t="shared" si="13"/>
        <v>0.1815392324348959</v>
      </c>
      <c r="N157">
        <f t="shared" si="14"/>
        <v>9.979365934733098</v>
      </c>
    </row>
    <row r="158" spans="12:14" ht="12.75">
      <c r="L158" s="10">
        <f t="shared" si="12"/>
        <v>0.050735980244001604</v>
      </c>
      <c r="M158" s="10">
        <f t="shared" si="13"/>
        <v>0.1780140498106792</v>
      </c>
      <c r="N158">
        <f t="shared" si="14"/>
        <v>10.067678907606842</v>
      </c>
    </row>
    <row r="159" spans="12:14" ht="12.75">
      <c r="L159" s="10">
        <f t="shared" si="12"/>
        <v>0.04910925577977335</v>
      </c>
      <c r="M159" s="10">
        <f t="shared" si="13"/>
        <v>0.1745460023475281</v>
      </c>
      <c r="N159">
        <f t="shared" si="14"/>
        <v>10.155991880480586</v>
      </c>
    </row>
    <row r="160" spans="12:14" ht="12.75">
      <c r="L160" s="10">
        <f t="shared" si="12"/>
        <v>0.047532354672335055</v>
      </c>
      <c r="M160" s="10">
        <f t="shared" si="13"/>
        <v>0.17113464673069584</v>
      </c>
      <c r="N160">
        <f t="shared" si="14"/>
        <v>10.24430485335433</v>
      </c>
    </row>
    <row r="161" spans="12:14" ht="12.75">
      <c r="L161" s="10">
        <f t="shared" si="12"/>
        <v>0.04600388421300054</v>
      </c>
      <c r="M161" s="10">
        <f t="shared" si="13"/>
        <v>0.16777951841865976</v>
      </c>
      <c r="N161">
        <f t="shared" si="14"/>
        <v>10.332617826228075</v>
      </c>
    </row>
    <row r="162" spans="12:14" ht="12.75">
      <c r="L162" s="10">
        <f t="shared" si="12"/>
        <v>0.04452248265435967</v>
      </c>
      <c r="M162" s="10">
        <f t="shared" si="13"/>
        <v>0.1644801332596515</v>
      </c>
      <c r="N162">
        <f t="shared" si="14"/>
        <v>10.42093079910182</v>
      </c>
    </row>
    <row r="163" spans="12:14" ht="12.75">
      <c r="L163" s="10">
        <f t="shared" si="12"/>
        <v>0.04308681904404769</v>
      </c>
      <c r="M163" s="10">
        <f t="shared" si="13"/>
        <v>0.16123598903062117</v>
      </c>
      <c r="N163">
        <f t="shared" si="14"/>
        <v>10.509243771975564</v>
      </c>
    </row>
    <row r="164" spans="12:14" ht="12.75">
      <c r="L164" s="10">
        <f t="shared" si="12"/>
        <v>0.04169559301640229</v>
      </c>
      <c r="M164" s="10">
        <f t="shared" si="13"/>
        <v>0.1580465669018605</v>
      </c>
      <c r="N164">
        <f t="shared" si="14"/>
        <v>10.597556744849308</v>
      </c>
    </row>
    <row r="165" spans="12:14" ht="12.75">
      <c r="L165" s="10">
        <f t="shared" si="12"/>
        <v>0.040347534546007216</v>
      </c>
      <c r="M165" s="10">
        <f t="shared" si="13"/>
        <v>0.15491133283038885</v>
      </c>
      <c r="N165">
        <f t="shared" si="14"/>
        <v>10.685869717723053</v>
      </c>
    </row>
    <row r="166" spans="12:14" ht="12.75">
      <c r="L166" s="10">
        <f t="shared" si="12"/>
        <v>0.03904140366684858</v>
      </c>
      <c r="M166" s="10">
        <f t="shared" si="13"/>
        <v>0.1518297388850794</v>
      </c>
      <c r="N166">
        <f t="shared" si="14"/>
        <v>10.774182690596797</v>
      </c>
    </row>
    <row r="167" spans="12:14" ht="12.75">
      <c r="L167" s="10">
        <f t="shared" si="12"/>
        <v>0.03777599016055244</v>
      </c>
      <c r="M167" s="10">
        <f t="shared" si="13"/>
        <v>0.14880122450639055</v>
      </c>
      <c r="N167">
        <f t="shared" si="14"/>
        <v>10.862495663470542</v>
      </c>
    </row>
    <row r="168" spans="12:14" ht="12.75">
      <c r="L168" s="10">
        <f t="shared" si="12"/>
        <v>0.036550113216930614</v>
      </c>
      <c r="M168" s="10">
        <f t="shared" si="13"/>
        <v>0.14582521770345375</v>
      </c>
      <c r="N168">
        <f t="shared" si="14"/>
        <v>10.950808636344286</v>
      </c>
    </row>
    <row r="169" spans="12:14" ht="12.75">
      <c r="L169" s="10">
        <f t="shared" si="12"/>
        <v>0.035362621069835884</v>
      </c>
      <c r="M169" s="10">
        <f t="shared" si="13"/>
        <v>0.14290113619116113</v>
      </c>
      <c r="N169">
        <f t="shared" si="14"/>
        <v>11.03912160921803</v>
      </c>
    </row>
    <row r="170" spans="12:14" ht="12.75">
      <c r="L170" s="10">
        <f t="shared" si="12"/>
        <v>0.03421239061111405</v>
      </c>
      <c r="M170" s="10">
        <f t="shared" si="13"/>
        <v>0.14002838846979396</v>
      </c>
      <c r="N170">
        <f t="shared" si="14"/>
        <v>11.127434582091775</v>
      </c>
    </row>
    <row r="171" spans="12:14" ht="12.75">
      <c r="L171" s="10">
        <f t="shared" si="12"/>
        <v>0.033098326985242045</v>
      </c>
      <c r="M171" s="10">
        <f t="shared" si="13"/>
        <v>0.13720637484963122</v>
      </c>
      <c r="N171">
        <f t="shared" si="14"/>
        <v>11.21574755496552</v>
      </c>
    </row>
    <row r="172" spans="12:14" ht="12.75">
      <c r="L172" s="10">
        <f aca="true" t="shared" si="15" ref="L172:L235">C$17*((EXP(-C$14*$N172))-(EXP(-C$15*$N172)))</f>
        <v>0.032019363167053415</v>
      </c>
      <c r="M172" s="10">
        <f aca="true" t="shared" si="16" ref="M172:M235">D$17*((EXP(-D$14*$N172))-(EXP(-D$15*$N172)))</f>
        <v>0.13443448842288303</v>
      </c>
      <c r="N172">
        <f t="shared" si="14"/>
        <v>11.304060527839264</v>
      </c>
    </row>
    <row r="173" spans="12:14" ht="12.75">
      <c r="L173" s="10">
        <f t="shared" si="15"/>
        <v>0.030974459524777648</v>
      </c>
      <c r="M173" s="10">
        <f t="shared" si="16"/>
        <v>0.13171211598520036</v>
      </c>
      <c r="N173">
        <f aca="true" t="shared" si="17" ref="N173:N236">N172+N$286</f>
        <v>11.392373500713008</v>
      </c>
    </row>
    <row r="174" spans="12:14" ht="12.75">
      <c r="L174" s="10">
        <f t="shared" si="15"/>
        <v>0.029962603370455237</v>
      </c>
      <c r="M174" s="10">
        <f t="shared" si="16"/>
        <v>0.12903863890892472</v>
      </c>
      <c r="N174">
        <f t="shared" si="17"/>
        <v>11.480686473586752</v>
      </c>
    </row>
    <row r="175" spans="12:14" ht="12.75">
      <c r="L175" s="10">
        <f t="shared" si="15"/>
        <v>0.02898280849963625</v>
      </c>
      <c r="M175" s="10">
        <f t="shared" si="16"/>
        <v>0.1264134339701539</v>
      </c>
      <c r="N175">
        <f t="shared" si="17"/>
        <v>11.568999446460497</v>
      </c>
    </row>
    <row r="176" spans="12:14" ht="12.75">
      <c r="L176" s="10">
        <f t="shared" si="15"/>
        <v>0.028034114722126077</v>
      </c>
      <c r="M176" s="10">
        <f t="shared" si="16"/>
        <v>0.12383587413161982</v>
      </c>
      <c r="N176">
        <f t="shared" si="17"/>
        <v>11.657312419334241</v>
      </c>
    </row>
    <row r="177" spans="12:14" ht="12.75">
      <c r="L177" s="10">
        <f t="shared" si="15"/>
        <v>0.02711558738540693</v>
      </c>
      <c r="M177" s="10">
        <f t="shared" si="16"/>
        <v>0.12130532928329431</v>
      </c>
      <c r="N177">
        <f t="shared" si="17"/>
        <v>11.745625392207986</v>
      </c>
    </row>
    <row r="178" spans="12:14" ht="12.75">
      <c r="L178" s="10">
        <f t="shared" si="15"/>
        <v>0.02622631689223693</v>
      </c>
      <c r="M178" s="10">
        <f t="shared" si="16"/>
        <v>0.11882116694256159</v>
      </c>
      <c r="N178">
        <f t="shared" si="17"/>
        <v>11.83393836508173</v>
      </c>
    </row>
    <row r="179" spans="12:14" ht="12.75">
      <c r="L179" s="10">
        <f t="shared" si="15"/>
        <v>0.02536541821381045</v>
      </c>
      <c r="M179" s="10">
        <f t="shared" si="16"/>
        <v>0.11638275291572554</v>
      </c>
      <c r="N179">
        <f t="shared" si="17"/>
        <v>11.922251337955474</v>
      </c>
    </row>
    <row r="180" spans="12:14" ht="12.75">
      <c r="L180" s="10">
        <f t="shared" si="15"/>
        <v>0.0245320303997527</v>
      </c>
      <c r="M180" s="10">
        <f t="shared" si="16"/>
        <v>0.11398945192254531</v>
      </c>
      <c r="N180">
        <f t="shared" si="17"/>
        <v>12.010564310829219</v>
      </c>
    </row>
    <row r="181" spans="12:14" ht="12.75">
      <c r="L181" s="10">
        <f t="shared" si="15"/>
        <v>0.023725316086117713</v>
      </c>
      <c r="M181" s="10">
        <f t="shared" si="16"/>
        <v>0.11164062818543015</v>
      </c>
      <c r="N181">
        <f t="shared" si="17"/>
        <v>12.098877283702963</v>
      </c>
    </row>
    <row r="182" spans="12:14" ht="12.75">
      <c r="L182" s="10">
        <f t="shared" si="15"/>
        <v>0.022944461002462245</v>
      </c>
      <c r="M182" s="10">
        <f t="shared" si="16"/>
        <v>0.10933564598485447</v>
      </c>
      <c r="N182">
        <f t="shared" si="17"/>
        <v>12.187190256576708</v>
      </c>
    </row>
    <row r="183" spans="12:14" ht="12.75">
      <c r="L183" s="10">
        <f t="shared" si="15"/>
        <v>0.022188673478977818</v>
      </c>
      <c r="M183" s="10">
        <f t="shared" si="16"/>
        <v>0.1070738701824938</v>
      </c>
      <c r="N183">
        <f t="shared" si="17"/>
        <v>12.275503229450452</v>
      </c>
    </row>
    <row r="184" spans="12:14" ht="12.75">
      <c r="L184" s="10">
        <f t="shared" si="15"/>
        <v>0.021457183954578244</v>
      </c>
      <c r="M184" s="10">
        <f t="shared" si="16"/>
        <v>0.10485466671352198</v>
      </c>
      <c r="N184">
        <f t="shared" si="17"/>
        <v>12.363816202324196</v>
      </c>
    </row>
    <row r="185" spans="12:14" ht="12.75">
      <c r="L185" s="10">
        <f t="shared" si="15"/>
        <v>0.020749244486761673</v>
      </c>
      <c r="M185" s="10">
        <f t="shared" si="16"/>
        <v>0.10267740304945117</v>
      </c>
      <c r="N185">
        <f t="shared" si="17"/>
        <v>12.45212917519794</v>
      </c>
    </row>
    <row r="186" spans="12:14" ht="12.75">
      <c r="L186" s="10">
        <f t="shared" si="15"/>
        <v>0.020064128263991947</v>
      </c>
      <c r="M186" s="10">
        <f t="shared" si="16"/>
        <v>0.10054144863284038</v>
      </c>
      <c r="N186">
        <f t="shared" si="17"/>
        <v>12.540442148071685</v>
      </c>
    </row>
    <row r="187" spans="12:14" ht="12.75">
      <c r="L187" s="10">
        <f t="shared" si="15"/>
        <v>0.019401129121276027</v>
      </c>
      <c r="M187" s="10">
        <f t="shared" si="16"/>
        <v>0.09844617528514588</v>
      </c>
      <c r="N187">
        <f t="shared" si="17"/>
        <v>12.62875512094543</v>
      </c>
    </row>
    <row r="188" spans="12:14" ht="12.75">
      <c r="L188" s="10">
        <f t="shared" si="15"/>
        <v>0.018759561059549897</v>
      </c>
      <c r="M188" s="10">
        <f t="shared" si="16"/>
        <v>0.09639095758893315</v>
      </c>
      <c r="N188">
        <f t="shared" si="17"/>
        <v>12.717068093819174</v>
      </c>
    </row>
    <row r="189" spans="12:14" ht="12.75">
      <c r="L189" s="10">
        <f t="shared" si="15"/>
        <v>0.018138757769425938</v>
      </c>
      <c r="M189" s="10">
        <f t="shared" si="16"/>
        <v>0.09437517324562271</v>
      </c>
      <c r="N189">
        <f t="shared" si="17"/>
        <v>12.805381066692918</v>
      </c>
    </row>
    <row r="190" spans="12:14" ht="12.75">
      <c r="L190" s="10">
        <f t="shared" si="15"/>
        <v>0.01753807215979911</v>
      </c>
      <c r="M190" s="10">
        <f t="shared" si="16"/>
        <v>0.09239820340989262</v>
      </c>
      <c r="N190">
        <f t="shared" si="17"/>
        <v>12.893694039566663</v>
      </c>
    </row>
    <row r="191" spans="12:14" ht="12.75">
      <c r="L191" s="10">
        <f t="shared" si="15"/>
        <v>0.016956875891757994</v>
      </c>
      <c r="M191" s="10">
        <f t="shared" si="16"/>
        <v>0.0904594330018154</v>
      </c>
      <c r="N191">
        <f t="shared" si="17"/>
        <v>12.982007012440407</v>
      </c>
    </row>
    <row r="192" spans="12:14" ht="12.75">
      <c r="L192" s="10">
        <f t="shared" si="15"/>
        <v>0.016394558918198163</v>
      </c>
      <c r="M192" s="10">
        <f t="shared" si="16"/>
        <v>0.0885582509977633</v>
      </c>
      <c r="N192">
        <f t="shared" si="17"/>
        <v>13.070319985314152</v>
      </c>
    </row>
    <row r="193" spans="12:14" ht="12.75">
      <c r="L193" s="10">
        <f t="shared" si="15"/>
        <v>0.015850529029491304</v>
      </c>
      <c r="M193" s="10">
        <f t="shared" si="16"/>
        <v>0.08669405070107265</v>
      </c>
      <c r="N193">
        <f t="shared" si="17"/>
        <v>13.158632958187896</v>
      </c>
    </row>
    <row r="194" spans="12:14" ht="12.75">
      <c r="L194" s="10">
        <f t="shared" si="15"/>
        <v>0.015324211405521725</v>
      </c>
      <c r="M194" s="10">
        <f t="shared" si="16"/>
        <v>0.08486622999341796</v>
      </c>
      <c r="N194">
        <f t="shared" si="17"/>
        <v>13.24694593106164</v>
      </c>
    </row>
    <row r="195" spans="12:14" ht="12.75">
      <c r="L195" s="10">
        <f t="shared" si="15"/>
        <v>0.014815048174363556</v>
      </c>
      <c r="M195" s="10">
        <f t="shared" si="16"/>
        <v>0.08307419156780708</v>
      </c>
      <c r="N195">
        <f t="shared" si="17"/>
        <v>13.335258903935385</v>
      </c>
    </row>
    <row r="196" spans="12:14" ht="12.75">
      <c r="L196" s="10">
        <f t="shared" si="15"/>
        <v>0.014322497977836406</v>
      </c>
      <c r="M196" s="10">
        <f t="shared" si="16"/>
        <v>0.08131734314407031</v>
      </c>
      <c r="N196">
        <f t="shared" si="17"/>
        <v>13.42357187680913</v>
      </c>
    </row>
    <row r="197" spans="12:14" ht="12.75">
      <c r="L197" s="10">
        <f t="shared" si="15"/>
        <v>0.013846035544143941</v>
      </c>
      <c r="M197" s="10">
        <f t="shared" si="16"/>
        <v>0.07959509766768195</v>
      </c>
      <c r="N197">
        <f t="shared" si="17"/>
        <v>13.511884849682874</v>
      </c>
    </row>
    <row r="198" spans="12:14" ht="12.75">
      <c r="L198" s="10">
        <f t="shared" si="15"/>
        <v>0.01338515126776963</v>
      </c>
      <c r="M198" s="10">
        <f t="shared" si="16"/>
        <v>0.07790687349271609</v>
      </c>
      <c r="N198">
        <f t="shared" si="17"/>
        <v>13.600197822556618</v>
      </c>
    </row>
    <row r="199" spans="12:14" ht="12.75">
      <c r="L199" s="10">
        <f t="shared" si="15"/>
        <v>0.01293935079677544</v>
      </c>
      <c r="M199" s="10">
        <f t="shared" si="16"/>
        <v>0.07625209454970591</v>
      </c>
      <c r="N199">
        <f t="shared" si="17"/>
        <v>13.688510795430362</v>
      </c>
    </row>
    <row r="200" spans="12:14" ht="12.75">
      <c r="L200" s="10">
        <f t="shared" si="15"/>
        <v>0.012508154627623225</v>
      </c>
      <c r="M200" s="10">
        <f t="shared" si="16"/>
        <v>0.0746301904991437</v>
      </c>
      <c r="N200">
        <f t="shared" si="17"/>
        <v>13.776823768304107</v>
      </c>
    </row>
    <row r="201" spans="12:14" ht="12.75">
      <c r="L201" s="10">
        <f t="shared" si="15"/>
        <v>0.012091097707614611</v>
      </c>
      <c r="M201" s="10">
        <f t="shared" si="16"/>
        <v>0.07304059687132776</v>
      </c>
      <c r="N201">
        <f t="shared" si="17"/>
        <v>13.865136741177851</v>
      </c>
    </row>
    <row r="202" spans="12:14" ht="12.75">
      <c r="L202" s="10">
        <f t="shared" si="15"/>
        <v>0.011687729045022742</v>
      </c>
      <c r="M202" s="10">
        <f t="shared" si="16"/>
        <v>0.07148275519323234</v>
      </c>
      <c r="N202">
        <f t="shared" si="17"/>
        <v>13.953449714051596</v>
      </c>
    </row>
    <row r="203" spans="12:14" ht="12.75">
      <c r="L203" s="10">
        <f t="shared" si="15"/>
        <v>0.011297611326969114</v>
      </c>
      <c r="M203" s="10">
        <f t="shared" si="16"/>
        <v>0.0699561131030489</v>
      </c>
      <c r="N203">
        <f t="shared" si="17"/>
        <v>14.04176268692534</v>
      </c>
    </row>
    <row r="204" spans="12:14" ht="12.75">
      <c r="L204" s="10">
        <f t="shared" si="15"/>
        <v>0.010920320545079869</v>
      </c>
      <c r="M204" s="10">
        <f t="shared" si="16"/>
        <v>0.06846012445301942</v>
      </c>
      <c r="N204">
        <f t="shared" si="17"/>
        <v>14.130075659799084</v>
      </c>
    </row>
    <row r="205" spans="12:14" ht="12.75">
      <c r="L205" s="10">
        <f t="shared" si="15"/>
        <v>0.010555445628938655</v>
      </c>
      <c r="M205" s="10">
        <f t="shared" si="16"/>
        <v>0.06699424940115524</v>
      </c>
      <c r="N205">
        <f t="shared" si="17"/>
        <v>14.218388632672829</v>
      </c>
    </row>
    <row r="206" spans="12:14" ht="12.75">
      <c r="L206" s="10">
        <f t="shared" si="15"/>
        <v>0.010202588087337523</v>
      </c>
      <c r="M206" s="10">
        <f t="shared" si="16"/>
        <v>0.0655579544924115</v>
      </c>
      <c r="N206">
        <f t="shared" si="17"/>
        <v>14.306701605546573</v>
      </c>
    </row>
    <row r="207" spans="12:14" ht="12.75">
      <c r="L207" s="10">
        <f t="shared" si="15"/>
        <v>0.009861361657312943</v>
      </c>
      <c r="M207" s="10">
        <f t="shared" si="16"/>
        <v>0.06415071272986105</v>
      </c>
      <c r="N207">
        <f t="shared" si="17"/>
        <v>14.395014578420318</v>
      </c>
    </row>
    <row r="208" spans="12:14" ht="12.75">
      <c r="L208" s="10">
        <f t="shared" si="15"/>
        <v>0.009531391960940638</v>
      </c>
      <c r="M208" s="10">
        <f t="shared" si="16"/>
        <v>0.06277200363638936</v>
      </c>
      <c r="N208">
        <f t="shared" si="17"/>
        <v>14.483327551294062</v>
      </c>
    </row>
    <row r="209" spans="12:14" ht="12.75">
      <c r="L209" s="10">
        <f t="shared" si="15"/>
        <v>0.009212316169851334</v>
      </c>
      <c r="M209" s="10">
        <f t="shared" si="16"/>
        <v>0.06142131330740999</v>
      </c>
      <c r="N209">
        <f t="shared" si="17"/>
        <v>14.571640524167806</v>
      </c>
    </row>
    <row r="210" spans="12:14" ht="12.75">
      <c r="L210" s="10">
        <f t="shared" si="15"/>
        <v>0.00890378267741838</v>
      </c>
      <c r="M210" s="10">
        <f t="shared" si="16"/>
        <v>0.06009813445507694</v>
      </c>
      <c r="N210">
        <f t="shared" si="17"/>
        <v>14.65995349704155</v>
      </c>
    </row>
    <row r="211" spans="12:14" ht="12.75">
      <c r="L211" s="10">
        <f t="shared" si="15"/>
        <v>0.008605450778558416</v>
      </c>
      <c r="M211" s="10">
        <f t="shared" si="16"/>
        <v>0.058801966444451854</v>
      </c>
      <c r="N211">
        <f t="shared" si="17"/>
        <v>14.748266469915295</v>
      </c>
    </row>
    <row r="212" spans="12:14" ht="12.75">
      <c r="L212" s="10">
        <f t="shared" si="15"/>
        <v>0.008316990357077525</v>
      </c>
      <c r="M212" s="10">
        <f t="shared" si="16"/>
        <v>0.057532315322062294</v>
      </c>
      <c r="N212">
        <f t="shared" si="17"/>
        <v>14.83657944278904</v>
      </c>
    </row>
    <row r="213" spans="12:14" ht="12.75">
      <c r="L213" s="10">
        <f t="shared" si="15"/>
        <v>0.00803808158048701</v>
      </c>
      <c r="M213" s="10">
        <f t="shared" si="16"/>
        <v>0.056288693837268956</v>
      </c>
      <c r="N213">
        <f t="shared" si="17"/>
        <v>14.924892415662784</v>
      </c>
    </row>
    <row r="214" spans="12:14" ht="12.75">
      <c r="L214" s="10">
        <f t="shared" si="15"/>
        <v>0.007768414602206084</v>
      </c>
      <c r="M214" s="10">
        <f t="shared" si="16"/>
        <v>0.05507062145684197</v>
      </c>
      <c r="N214">
        <f t="shared" si="17"/>
        <v>15.013205388536528</v>
      </c>
    </row>
    <row r="215" spans="12:14" ht="12.75">
      <c r="L215" s="10">
        <f t="shared" si="15"/>
        <v>0.007507689271062085</v>
      </c>
      <c r="M215" s="10">
        <f t="shared" si="16"/>
        <v>0.05387762437312754</v>
      </c>
      <c r="N215">
        <f t="shared" si="17"/>
        <v>15.101518361410273</v>
      </c>
    </row>
    <row r="216" spans="12:14" ht="12.75">
      <c r="L216" s="10">
        <f t="shared" si="15"/>
        <v>0.0072556148479933046</v>
      </c>
      <c r="M216" s="10">
        <f t="shared" si="16"/>
        <v>0.052709235506171175</v>
      </c>
      <c r="N216">
        <f t="shared" si="17"/>
        <v>15.189831334284017</v>
      </c>
    </row>
    <row r="217" spans="12:14" ht="12.75">
      <c r="L217" s="10">
        <f t="shared" si="15"/>
        <v>0.007011909729854461</v>
      </c>
      <c r="M217" s="10">
        <f t="shared" si="16"/>
        <v>0.05156499450014496</v>
      </c>
      <c r="N217">
        <f t="shared" si="17"/>
        <v>15.278144307157762</v>
      </c>
    </row>
    <row r="218" spans="12:14" ht="12.75">
      <c r="L218" s="10">
        <f t="shared" si="15"/>
        <v>0.006776301180220304</v>
      </c>
      <c r="M218" s="10">
        <f t="shared" si="16"/>
        <v>0.05044444771441378</v>
      </c>
      <c r="N218">
        <f t="shared" si="17"/>
        <v>15.366457280031506</v>
      </c>
    </row>
    <row r="219" spans="12:14" ht="12.75">
      <c r="L219" s="10">
        <f t="shared" si="15"/>
        <v>0.006548525067079183</v>
      </c>
      <c r="M219" s="10">
        <f t="shared" si="16"/>
        <v>0.049347148209558295</v>
      </c>
      <c r="N219">
        <f t="shared" si="17"/>
        <v>15.45477025290525</v>
      </c>
    </row>
    <row r="220" spans="12:14" ht="12.75">
      <c r="L220" s="10">
        <f t="shared" si="15"/>
        <v>0.006328325607304962</v>
      </c>
      <c r="M220" s="10">
        <f t="shared" si="16"/>
        <v>0.04827265572865893</v>
      </c>
      <c r="N220">
        <f t="shared" si="17"/>
        <v>15.543083225778995</v>
      </c>
    </row>
    <row r="221" spans="12:14" ht="12.75">
      <c r="L221" s="10">
        <f t="shared" si="15"/>
        <v>0.006115455117792879</v>
      </c>
      <c r="M221" s="10">
        <f t="shared" si="16"/>
        <v>0.047220536674131605</v>
      </c>
      <c r="N221">
        <f t="shared" si="17"/>
        <v>15.63139619865274</v>
      </c>
    </row>
    <row r="222" spans="12:14" ht="12.75">
      <c r="L222" s="10">
        <f t="shared" si="15"/>
        <v>0.005909673773142573</v>
      </c>
      <c r="M222" s="10">
        <f t="shared" si="16"/>
        <v>0.04619036408039231</v>
      </c>
      <c r="N222">
        <f t="shared" si="17"/>
        <v>15.719709171526484</v>
      </c>
    </row>
    <row r="223" spans="12:14" ht="12.75">
      <c r="L223" s="10">
        <f t="shared" si="15"/>
        <v>0.005710749369769583</v>
      </c>
      <c r="M223" s="10">
        <f t="shared" si="16"/>
        <v>0.04518171758261534</v>
      </c>
      <c r="N223">
        <f t="shared" si="17"/>
        <v>15.808022144400228</v>
      </c>
    </row>
    <row r="224" spans="12:14" ht="12.75">
      <c r="L224" s="10">
        <f t="shared" si="15"/>
        <v>0.005518457096324922</v>
      </c>
      <c r="M224" s="10">
        <f t="shared" si="16"/>
        <v>0.04419418338183779</v>
      </c>
      <c r="N224">
        <f t="shared" si="17"/>
        <v>15.896335117273972</v>
      </c>
    </row>
    <row r="225" spans="12:14" ht="12.75">
      <c r="L225" s="10">
        <f t="shared" si="15"/>
        <v>0.005332579310301297</v>
      </c>
      <c r="M225" s="10">
        <f t="shared" si="16"/>
        <v>0.04322735420665099</v>
      </c>
      <c r="N225">
        <f t="shared" si="17"/>
        <v>15.984648090147717</v>
      </c>
    </row>
    <row r="226" spans="12:14" ht="12.75">
      <c r="L226" s="10">
        <f t="shared" si="15"/>
        <v>0.005152905320703521</v>
      </c>
      <c r="M226" s="10">
        <f t="shared" si="16"/>
        <v>0.042280829271709085</v>
      </c>
      <c r="N226">
        <f t="shared" si="17"/>
        <v>16.07296106302146</v>
      </c>
    </row>
    <row r="227" spans="12:14" ht="12.75">
      <c r="L227" s="10">
        <f t="shared" si="15"/>
        <v>0.004979231176660094</v>
      </c>
      <c r="M227" s="10">
        <f t="shared" si="16"/>
        <v>0.04135421423327338</v>
      </c>
      <c r="N227">
        <f t="shared" si="17"/>
        <v>16.161274035895204</v>
      </c>
    </row>
    <row r="228" spans="12:14" ht="12.75">
      <c r="L228" s="10">
        <f t="shared" si="15"/>
        <v>0.004811359461852699</v>
      </c>
      <c r="M228" s="10">
        <f t="shared" si="16"/>
        <v>0.04044712114200158</v>
      </c>
      <c r="N228">
        <f t="shared" si="17"/>
        <v>16.24958700876895</v>
      </c>
    </row>
    <row r="229" spans="12:14" ht="12.75">
      <c r="L229" s="10">
        <f t="shared" si="15"/>
        <v>0.004649099094640198</v>
      </c>
      <c r="M229" s="10">
        <f t="shared" si="16"/>
        <v>0.039559168393180855</v>
      </c>
      <c r="N229">
        <f t="shared" si="17"/>
        <v>16.337899981642693</v>
      </c>
    </row>
    <row r="230" spans="12:14" ht="12.75">
      <c r="L230" s="10">
        <f t="shared" si="15"/>
        <v>0.004492265133753929</v>
      </c>
      <c r="M230" s="10">
        <f t="shared" si="16"/>
        <v>0.03868998067459414</v>
      </c>
      <c r="N230">
        <f t="shared" si="17"/>
        <v>16.426212954516437</v>
      </c>
    </row>
    <row r="231" spans="12:14" ht="12.75">
      <c r="L231" s="10">
        <f t="shared" si="15"/>
        <v>0.004340678589441491</v>
      </c>
      <c r="M231" s="10">
        <f t="shared" si="16"/>
        <v>0.037839188912200374</v>
      </c>
      <c r="N231">
        <f t="shared" si="17"/>
        <v>16.51452592739018</v>
      </c>
    </row>
    <row r="232" spans="12:14" ht="12.75">
      <c r="L232" s="10">
        <f t="shared" si="15"/>
        <v>0.004194166239936781</v>
      </c>
      <c r="M232" s="10">
        <f t="shared" si="16"/>
        <v>0.03700643021380041</v>
      </c>
      <c r="N232">
        <f t="shared" si="17"/>
        <v>16.602838900263926</v>
      </c>
    </row>
    <row r="233" spans="12:14" ht="12.75">
      <c r="L233" s="10">
        <f t="shared" si="15"/>
        <v>0.004052560453134772</v>
      </c>
      <c r="M233" s="10">
        <f t="shared" si="16"/>
        <v>0.03619134781085216</v>
      </c>
      <c r="N233">
        <f t="shared" si="17"/>
        <v>16.69115187313767</v>
      </c>
    </row>
    <row r="234" spans="12:14" ht="12.75">
      <c r="L234" s="10">
        <f t="shared" si="15"/>
        <v>0.003915699013350434</v>
      </c>
      <c r="M234" s="10">
        <f t="shared" si="16"/>
        <v>0.03539359099859066</v>
      </c>
      <c r="N234">
        <f t="shared" si="17"/>
        <v>16.779464846011415</v>
      </c>
    </row>
    <row r="235" spans="12:14" ht="12.75">
      <c r="L235" s="10">
        <f t="shared" si="15"/>
        <v>0.0037834249530423036</v>
      </c>
      <c r="M235" s="10">
        <f t="shared" si="16"/>
        <v>0.034612815074600824</v>
      </c>
      <c r="N235">
        <f t="shared" si="17"/>
        <v>16.86777781888516</v>
      </c>
    </row>
    <row r="236" spans="12:14" ht="12.75">
      <c r="L236" s="10">
        <f aca="true" t="shared" si="18" ref="L236:L283">C$17*((EXP(-C$14*$N236))-(EXP(-C$15*$N236)))</f>
        <v>0.003655586389382262</v>
      </c>
      <c r="M236" s="10">
        <f aca="true" t="shared" si="19" ref="M236:M283">D$17*((EXP(-D$14*$N236))-(EXP(-D$15*$N236)))</f>
        <v>0.033848681275983734</v>
      </c>
      <c r="N236">
        <f t="shared" si="17"/>
        <v>16.956090791758903</v>
      </c>
    </row>
    <row r="237" spans="12:14" ht="12.75">
      <c r="L237" s="10">
        <f t="shared" si="18"/>
        <v>0.003532036365554538</v>
      </c>
      <c r="M237" s="10">
        <f t="shared" si="19"/>
        <v>0.03310085671525006</v>
      </c>
      <c r="N237">
        <f aca="true" t="shared" si="20" ref="N237:N282">N236+N$286</f>
        <v>17.044403764632648</v>
      </c>
    </row>
    <row r="238" spans="12:14" ht="12.75">
      <c r="L238" s="10">
        <f t="shared" si="18"/>
        <v>0.0034126326966681976</v>
      </c>
      <c r="M238" s="10">
        <f t="shared" si="19"/>
        <v>0.03236901431506748</v>
      </c>
      <c r="N238">
        <f t="shared" si="20"/>
        <v>17.132716737506392</v>
      </c>
    </row>
    <row r="239" spans="12:14" ht="12.75">
      <c r="L239" s="10">
        <f t="shared" si="18"/>
        <v>0.003297237820168966</v>
      </c>
      <c r="M239" s="10">
        <f t="shared" si="19"/>
        <v>0.03165283274198286</v>
      </c>
      <c r="N239">
        <f t="shared" si="20"/>
        <v>17.221029710380137</v>
      </c>
    </row>
    <row r="240" spans="12:14" ht="12.75">
      <c r="L240" s="10">
        <f t="shared" si="18"/>
        <v>0.0031857186506378007</v>
      </c>
      <c r="M240" s="10">
        <f t="shared" si="19"/>
        <v>0.03095199633923327</v>
      </c>
      <c r="N240">
        <f t="shared" si="20"/>
        <v>17.30934268325388</v>
      </c>
    </row>
    <row r="241" spans="12:14" ht="12.75">
      <c r="L241" s="10">
        <f t="shared" si="18"/>
        <v>0.0030779464388651727</v>
      </c>
      <c r="M241" s="10">
        <f t="shared" si="19"/>
        <v>0.03026619505875476</v>
      </c>
      <c r="N241">
        <f t="shared" si="20"/>
        <v>17.397655656127625</v>
      </c>
    </row>
    <row r="242" spans="12:14" ht="12.75">
      <c r="L242" s="10">
        <f t="shared" si="18"/>
        <v>0.0029737966350918605</v>
      </c>
      <c r="M242" s="10">
        <f t="shared" si="19"/>
        <v>0.029595124392491262</v>
      </c>
      <c r="N242">
        <f t="shared" si="20"/>
        <v>17.48596862900137</v>
      </c>
    </row>
    <row r="243" spans="12:14" ht="12.75">
      <c r="L243" s="10">
        <f t="shared" si="18"/>
        <v>0.0028731487563087034</v>
      </c>
      <c r="M243" s="10">
        <f t="shared" si="19"/>
        <v>0.028938485303101606</v>
      </c>
      <c r="N243">
        <f t="shared" si="20"/>
        <v>17.574281601875114</v>
      </c>
    </row>
    <row r="244" spans="12:14" ht="12.75">
      <c r="L244" s="10">
        <f t="shared" si="18"/>
        <v>0.0027758862575096217</v>
      </c>
      <c r="M244" s="10">
        <f t="shared" si="19"/>
        <v>0.02829598415415669</v>
      </c>
      <c r="N244">
        <f t="shared" si="20"/>
        <v>17.66259457474886</v>
      </c>
    </row>
    <row r="245" spans="12:14" ht="12.75">
      <c r="L245" s="10">
        <f t="shared" si="18"/>
        <v>0.0026818964067940594</v>
      </c>
      <c r="M245" s="10">
        <f t="shared" si="19"/>
        <v>0.02766733263991423</v>
      </c>
      <c r="N245">
        <f t="shared" si="20"/>
        <v>17.750907547622603</v>
      </c>
    </row>
    <row r="246" spans="12:14" ht="12.75">
      <c r="L246" s="10">
        <f t="shared" si="18"/>
        <v>0.002591070164216819</v>
      </c>
      <c r="M246" s="10">
        <f t="shared" si="19"/>
        <v>0.027052247714753872</v>
      </c>
      <c r="N246">
        <f t="shared" si="20"/>
        <v>17.839220520496347</v>
      </c>
    </row>
    <row r="247" spans="12:14" ht="12.75">
      <c r="L247" s="10">
        <f t="shared" si="18"/>
        <v>0.0025033020642852275</v>
      </c>
      <c r="M247" s="10">
        <f t="shared" si="19"/>
        <v>0.026450451522350624</v>
      </c>
      <c r="N247">
        <f t="shared" si="20"/>
        <v>17.927533493370092</v>
      </c>
    </row>
    <row r="248" spans="12:14" ht="12.75">
      <c r="L248" s="10">
        <f t="shared" si="18"/>
        <v>0.002418490102005461</v>
      </c>
      <c r="M248" s="10">
        <f t="shared" si="19"/>
        <v>0.025861671324660745</v>
      </c>
      <c r="N248">
        <f t="shared" si="20"/>
        <v>18.015846466243836</v>
      </c>
    </row>
    <row r="249" spans="12:14" ht="12.75">
      <c r="L249" s="10">
        <f t="shared" si="18"/>
        <v>0.0023365356223817775</v>
      </c>
      <c r="M249" s="10">
        <f t="shared" si="19"/>
        <v>0.025285639430789448</v>
      </c>
      <c r="N249">
        <f t="shared" si="20"/>
        <v>18.10415943911758</v>
      </c>
    </row>
    <row r="250" spans="12:14" ht="12.75">
      <c r="L250" s="10">
        <f t="shared" si="18"/>
        <v>0.0022573432132743762</v>
      </c>
      <c r="M250" s="10">
        <f t="shared" si="19"/>
        <v>0.024722093125806466</v>
      </c>
      <c r="N250">
        <f t="shared" si="20"/>
        <v>18.192472411991325</v>
      </c>
    </row>
    <row r="251" spans="12:14" ht="12.75">
      <c r="L251" s="10">
        <f t="shared" si="18"/>
        <v>0.002180820601523554</v>
      </c>
      <c r="M251" s="10">
        <f t="shared" si="19"/>
        <v>0.024170774599571305</v>
      </c>
      <c r="N251">
        <f t="shared" si="20"/>
        <v>18.28078538486507</v>
      </c>
    </row>
    <row r="252" spans="12:14" ht="12.75">
      <c r="L252" s="10">
        <f t="shared" si="18"/>
        <v>0.0021068785522497355</v>
      </c>
      <c r="M252" s="10">
        <f t="shared" si="19"/>
        <v>0.02363143087562664</v>
      </c>
      <c r="N252">
        <f t="shared" si="20"/>
        <v>18.369098357738814</v>
      </c>
    </row>
    <row r="253" spans="12:14" ht="12.75">
      <c r="L253" s="10">
        <f t="shared" si="18"/>
        <v>0.0020354307712409764</v>
      </c>
      <c r="M253" s="10">
        <f t="shared" si="19"/>
        <v>0.023103813740214734</v>
      </c>
      <c r="N253">
        <f t="shared" si="20"/>
        <v>18.45741133061256</v>
      </c>
    </row>
    <row r="254" spans="12:14" ht="12.75">
      <c r="L254" s="10">
        <f t="shared" si="18"/>
        <v>0.001966393810341419</v>
      </c>
      <c r="M254" s="10">
        <f t="shared" si="19"/>
        <v>0.022587679671468595</v>
      </c>
      <c r="N254">
        <f t="shared" si="20"/>
        <v>18.545724303486303</v>
      </c>
    </row>
    <row r="255" spans="12:14" ht="12.75">
      <c r="L255" s="10">
        <f t="shared" si="18"/>
        <v>0.0018996869757561393</v>
      </c>
      <c r="M255" s="10">
        <f t="shared" si="19"/>
        <v>0.022082789768826327</v>
      </c>
      <c r="N255">
        <f t="shared" si="20"/>
        <v>18.634037276360047</v>
      </c>
    </row>
    <row r="256" spans="12:14" ht="12.75">
      <c r="L256" s="10">
        <f t="shared" si="18"/>
        <v>0.0018352322391897808</v>
      </c>
      <c r="M256" s="10">
        <f t="shared" si="19"/>
        <v>0.021588909682714208</v>
      </c>
      <c r="N256">
        <f t="shared" si="20"/>
        <v>18.72235024923379</v>
      </c>
    </row>
    <row r="257" spans="12:14" ht="12.75">
      <c r="L257" s="10">
        <f t="shared" si="18"/>
        <v>0.0017729541517381997</v>
      </c>
      <c r="M257" s="10">
        <f t="shared" si="19"/>
        <v>0.021105809544541075</v>
      </c>
      <c r="N257">
        <f t="shared" si="20"/>
        <v>18.810663222107536</v>
      </c>
    </row>
    <row r="258" spans="12:14" ht="12.75">
      <c r="L258" s="10">
        <f t="shared" si="18"/>
        <v>0.0017127797604543304</v>
      </c>
      <c r="M258" s="10">
        <f t="shared" si="19"/>
        <v>0.020633263897044125</v>
      </c>
      <c r="N258">
        <f t="shared" si="20"/>
        <v>18.89897619498128</v>
      </c>
    </row>
    <row r="259" spans="12:14" ht="12.75">
      <c r="L259" s="10">
        <f t="shared" si="18"/>
        <v>0.001654638527511296</v>
      </c>
      <c r="M259" s="10">
        <f t="shared" si="19"/>
        <v>0.020171051625023077</v>
      </c>
      <c r="N259">
        <f t="shared" si="20"/>
        <v>18.987289167855025</v>
      </c>
    </row>
    <row r="260" spans="12:14" ht="12.75">
      <c r="L260" s="10">
        <f t="shared" si="18"/>
        <v>0.0015984622518876617</v>
      </c>
      <c r="M260" s="10">
        <f t="shared" si="19"/>
        <v>0.019718955886497885</v>
      </c>
      <c r="N260">
        <f t="shared" si="20"/>
        <v>19.07560214072877</v>
      </c>
    </row>
    <row r="261" spans="12:14" ht="12.75">
      <c r="L261" s="10">
        <f t="shared" si="18"/>
        <v>0.0015441849935015767</v>
      </c>
      <c r="M261" s="10">
        <f t="shared" si="19"/>
        <v>0.019276764044322246</v>
      </c>
      <c r="N261">
        <f t="shared" si="20"/>
        <v>19.163915113602513</v>
      </c>
    </row>
    <row r="262" spans="12:14" ht="12.75">
      <c r="L262" s="10">
        <f t="shared" si="18"/>
        <v>0.0014917429997223274</v>
      </c>
      <c r="M262" s="10">
        <f t="shared" si="19"/>
        <v>0.01884426759828313</v>
      </c>
      <c r="N262">
        <f t="shared" si="20"/>
        <v>19.252228086476258</v>
      </c>
    </row>
    <row r="263" spans="12:14" ht="12.75">
      <c r="L263" s="10">
        <f t="shared" si="18"/>
        <v>0.001441074634189643</v>
      </c>
      <c r="M263" s="10">
        <f t="shared" si="19"/>
        <v>0.018421262117714336</v>
      </c>
      <c r="N263">
        <f t="shared" si="20"/>
        <v>19.340541059350002</v>
      </c>
    </row>
    <row r="264" spans="12:14" ht="12.75">
      <c r="L264" s="10">
        <f t="shared" si="18"/>
        <v>0.0013921203078728365</v>
      </c>
      <c r="M264" s="10">
        <f t="shared" si="19"/>
        <v>0.01800754717465012</v>
      </c>
      <c r="N264">
        <f t="shared" si="20"/>
        <v>19.428854032223747</v>
      </c>
    </row>
    <row r="265" spans="12:14" ht="12.75">
      <c r="L265" s="10">
        <f t="shared" si="18"/>
        <v>0.001344822412303604</v>
      </c>
      <c r="M265" s="10">
        <f t="shared" si="19"/>
        <v>0.01760292627754286</v>
      </c>
      <c r="N265">
        <f t="shared" si="20"/>
        <v>19.51716700509749</v>
      </c>
    </row>
    <row r="266" spans="12:14" ht="12.75">
      <c r="L266" s="10">
        <f t="shared" si="18"/>
        <v>0.0012991252549179925</v>
      </c>
      <c r="M266" s="10">
        <f t="shared" si="19"/>
        <v>0.017207206805566963</v>
      </c>
      <c r="N266">
        <f t="shared" si="20"/>
        <v>19.605479977971235</v>
      </c>
    </row>
    <row r="267" spans="12:14" ht="12.75">
      <c r="L267" s="10">
        <f t="shared" si="18"/>
        <v>0.0012549749964447677</v>
      </c>
      <c r="M267" s="10">
        <f t="shared" si="19"/>
        <v>0.01682019994352932</v>
      </c>
      <c r="N267">
        <f t="shared" si="20"/>
        <v>19.69379295084498</v>
      </c>
    </row>
    <row r="268" spans="12:14" ht="12.75">
      <c r="L268" s="10">
        <f t="shared" si="18"/>
        <v>0.001212319590279</v>
      </c>
      <c r="M268" s="10">
        <f t="shared" si="19"/>
        <v>0.016441720617405214</v>
      </c>
      <c r="N268">
        <f t="shared" si="20"/>
        <v>19.782105923718724</v>
      </c>
    </row>
    <row r="269" spans="12:14" ht="12.75">
      <c r="L269" s="10">
        <f t="shared" si="18"/>
        <v>0.0011711087237813525</v>
      </c>
      <c r="M269" s="10">
        <f t="shared" si="19"/>
        <v>0.016071587430516444</v>
      </c>
      <c r="N269">
        <f t="shared" si="20"/>
        <v>19.87041889659247</v>
      </c>
    </row>
    <row r="270" spans="12:14" ht="12.75">
      <c r="L270" s="10">
        <f t="shared" si="18"/>
        <v>0.0011312937614451257</v>
      </c>
      <c r="M270" s="10">
        <f t="shared" si="19"/>
        <v>0.015709622600367665</v>
      </c>
      <c r="N270">
        <f t="shared" si="20"/>
        <v>19.958731869466213</v>
      </c>
    </row>
    <row r="271" spans="12:14" ht="12.75">
      <c r="L271" s="10">
        <f t="shared" si="18"/>
        <v>0.001092827689874666</v>
      </c>
      <c r="M271" s="10">
        <f t="shared" si="19"/>
        <v>0.015355651896154695</v>
      </c>
      <c r="N271">
        <f t="shared" si="20"/>
        <v>20.047044842339957</v>
      </c>
    </row>
    <row r="272" spans="12:14" ht="12.75">
      <c r="L272" s="10">
        <f t="shared" si="18"/>
        <v>0.0010556650645202907</v>
      </c>
      <c r="M272" s="10">
        <f t="shared" si="19"/>
        <v>0.015009504576957766</v>
      </c>
      <c r="N272">
        <f t="shared" si="20"/>
        <v>20.135357815213702</v>
      </c>
    </row>
    <row r="273" spans="12:14" ht="12.75">
      <c r="L273" s="10">
        <f t="shared" si="18"/>
        <v>0.0010197619581163485</v>
      </c>
      <c r="M273" s="10">
        <f t="shared" si="19"/>
        <v>0.014671013330631083</v>
      </c>
      <c r="N273">
        <f t="shared" si="20"/>
        <v>20.223670788087446</v>
      </c>
    </row>
    <row r="274" spans="12:14" ht="12.75">
      <c r="L274" s="10">
        <f t="shared" si="18"/>
        <v>0.0009850759107705345</v>
      </c>
      <c r="M274" s="10">
        <f t="shared" si="19"/>
        <v>0.014340014213398965</v>
      </c>
      <c r="N274">
        <f t="shared" si="20"/>
        <v>20.31198376096119</v>
      </c>
    </row>
    <row r="275" spans="12:14" ht="12.75">
      <c r="L275" s="10">
        <f t="shared" si="18"/>
        <v>0.0009515658816539898</v>
      </c>
      <c r="M275" s="10">
        <f t="shared" si="19"/>
        <v>0.014016346590167405</v>
      </c>
      <c r="N275">
        <f t="shared" si="20"/>
        <v>20.400296733834935</v>
      </c>
    </row>
    <row r="276" spans="12:14" ht="12.75">
      <c r="L276" s="10">
        <f t="shared" si="18"/>
        <v>0.0009191922022431252</v>
      </c>
      <c r="M276" s="10">
        <f t="shared" si="19"/>
        <v>0.013699853075559237</v>
      </c>
      <c r="N276">
        <f t="shared" si="20"/>
        <v>20.48860970670868</v>
      </c>
    </row>
    <row r="277" spans="12:14" ht="12.75">
      <c r="L277" s="10">
        <f t="shared" si="18"/>
        <v>0.000887916531065491</v>
      </c>
      <c r="M277" s="10">
        <f t="shared" si="19"/>
        <v>0.01339037947567956</v>
      </c>
      <c r="N277">
        <f t="shared" si="20"/>
        <v>20.576922679582424</v>
      </c>
    </row>
    <row r="278" spans="12:14" ht="12.75">
      <c r="L278" s="10">
        <f t="shared" si="18"/>
        <v>0.0008577018099033413</v>
      </c>
      <c r="M278" s="10">
        <f t="shared" si="19"/>
        <v>0.013087774730617308</v>
      </c>
      <c r="N278">
        <f t="shared" si="20"/>
        <v>20.66523565245617</v>
      </c>
    </row>
    <row r="279" spans="12:14" ht="12.75">
      <c r="L279" s="10">
        <f t="shared" si="18"/>
        <v>0.0008285122214098613</v>
      </c>
      <c r="M279" s="10">
        <f t="shared" si="19"/>
        <v>0.012791890857687937</v>
      </c>
      <c r="N279">
        <f t="shared" si="20"/>
        <v>20.753548625329913</v>
      </c>
    </row>
    <row r="280" spans="12:14" ht="12.75">
      <c r="L280" s="10">
        <f t="shared" si="18"/>
        <v>0.0008003131480943252</v>
      </c>
      <c r="M280" s="10">
        <f t="shared" si="19"/>
        <v>0.012502582895421135</v>
      </c>
      <c r="N280">
        <f t="shared" si="20"/>
        <v>20.841861598203657</v>
      </c>
    </row>
    <row r="281" spans="12:14" ht="12.75">
      <c r="L281" s="10">
        <f t="shared" si="18"/>
        <v>0.0007730711326336604</v>
      </c>
      <c r="M281" s="10">
        <f t="shared" si="19"/>
        <v>0.012219708848296781</v>
      </c>
      <c r="N281">
        <f t="shared" si="20"/>
        <v>20.9301745710774</v>
      </c>
    </row>
    <row r="282" spans="12:14" ht="12.75">
      <c r="L282" s="10">
        <f t="shared" si="18"/>
        <v>0.0007467538394691633</v>
      </c>
      <c r="M282" s="10">
        <f t="shared" si="19"/>
        <v>0.01194312963223147</v>
      </c>
      <c r="N282">
        <f t="shared" si="20"/>
        <v>21.018487543951146</v>
      </c>
    </row>
    <row r="283" spans="12:14" ht="12.75">
      <c r="L283" s="41">
        <f t="shared" si="18"/>
        <v>0.0006967694648725156</v>
      </c>
      <c r="M283" s="10">
        <f t="shared" si="19"/>
        <v>0.011408313592313323</v>
      </c>
      <c r="N283" s="10">
        <f>MAX(L285:M285)</f>
        <v>21.195113489698567</v>
      </c>
    </row>
    <row r="285" spans="12:13" ht="12.75">
      <c r="L285">
        <f>C7+(7*C19)</f>
        <v>9.787209065550003</v>
      </c>
      <c r="M285">
        <f>D7+(7*D19)</f>
        <v>21.195113489698567</v>
      </c>
    </row>
    <row r="286" spans="13:14" ht="12.75">
      <c r="M286" t="s">
        <v>77</v>
      </c>
      <c r="N286">
        <f>N283/240</f>
        <v>0.08831297287374403</v>
      </c>
    </row>
    <row r="288" ht="12.75">
      <c r="D288" s="71"/>
    </row>
  </sheetData>
  <sheetProtection/>
  <printOptions/>
  <pageMargins left="0.5166666666666667" right="0.5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399"/>
  <sheetViews>
    <sheetView showGridLines="0" workbookViewId="0" topLeftCell="A1">
      <selection activeCell="B28" sqref="B28"/>
    </sheetView>
  </sheetViews>
  <sheetFormatPr defaultColWidth="9.140625" defaultRowHeight="12.75"/>
  <cols>
    <col min="1" max="1" width="3.8515625" style="0" customWidth="1"/>
    <col min="2" max="2" width="14.7109375" style="0" customWidth="1"/>
    <col min="3" max="3" width="10.00390625" style="0" customWidth="1"/>
    <col min="4" max="4" width="10.28125" style="0" customWidth="1"/>
    <col min="5" max="5" width="9.7109375" style="0" customWidth="1"/>
    <col min="7" max="7" width="9.140625" style="39" customWidth="1"/>
    <col min="8" max="9" width="9.00390625" style="39" customWidth="1"/>
    <col min="11" max="11" width="8.8515625" style="0" customWidth="1"/>
    <col min="12" max="20" width="6.00390625" style="0" customWidth="1"/>
    <col min="21" max="22" width="7.7109375" style="0" customWidth="1"/>
    <col min="23" max="23" width="8.8515625" style="0" customWidth="1"/>
    <col min="24" max="28" width="7.7109375" style="0" customWidth="1"/>
    <col min="29" max="29" width="3.28125" style="0" customWidth="1"/>
    <col min="30" max="46" width="7.7109375" style="0" customWidth="1"/>
    <col min="47" max="47" width="6.00390625" style="0" customWidth="1"/>
    <col min="48" max="48" width="3.57421875" style="0" customWidth="1"/>
    <col min="49" max="49" width="5.00390625" style="0" customWidth="1"/>
    <col min="50" max="50" width="7.421875" style="0" customWidth="1"/>
    <col min="51" max="55" width="5.57421875" style="0" customWidth="1"/>
    <col min="56" max="76" width="6.00390625" style="0" customWidth="1"/>
  </cols>
  <sheetData>
    <row r="2" spans="2:3" ht="12.75">
      <c r="B2" s="21" t="s">
        <v>78</v>
      </c>
      <c r="C2" s="72"/>
    </row>
    <row r="3" spans="2:9" ht="12.75">
      <c r="B3" t="s">
        <v>79</v>
      </c>
      <c r="G3"/>
      <c r="H3"/>
      <c r="I3"/>
    </row>
    <row r="4" spans="2:9" ht="12.75">
      <c r="B4" t="s">
        <v>80</v>
      </c>
      <c r="G4"/>
      <c r="H4"/>
      <c r="I4"/>
    </row>
    <row r="5" spans="7:9" ht="12.75">
      <c r="G5"/>
      <c r="H5"/>
      <c r="I5"/>
    </row>
    <row r="6" spans="2:9" ht="12.75">
      <c r="B6" s="73"/>
      <c r="C6" s="74" t="s">
        <v>81</v>
      </c>
      <c r="D6" s="74" t="s">
        <v>82</v>
      </c>
      <c r="E6" s="75"/>
      <c r="G6"/>
      <c r="H6"/>
      <c r="I6"/>
    </row>
    <row r="7" spans="2:9" ht="12.75">
      <c r="B7" s="76" t="s">
        <v>83</v>
      </c>
      <c r="C7" s="21"/>
      <c r="D7" s="21"/>
      <c r="E7" s="77"/>
      <c r="G7"/>
      <c r="H7"/>
      <c r="I7"/>
    </row>
    <row r="8" spans="1:9" ht="12.75">
      <c r="A8" s="78"/>
      <c r="B8" s="27" t="s">
        <v>84</v>
      </c>
      <c r="C8" s="30">
        <v>0.11</v>
      </c>
      <c r="D8" s="30">
        <v>0.22</v>
      </c>
      <c r="E8" s="29" t="s">
        <v>40</v>
      </c>
      <c r="G8"/>
      <c r="H8"/>
      <c r="I8"/>
    </row>
    <row r="9" spans="2:9" ht="12.75">
      <c r="B9" s="27" t="s">
        <v>85</v>
      </c>
      <c r="C9" s="28">
        <v>4</v>
      </c>
      <c r="D9" s="28">
        <v>2.3</v>
      </c>
      <c r="E9" s="29" t="s">
        <v>24</v>
      </c>
      <c r="G9"/>
      <c r="H9"/>
      <c r="I9"/>
    </row>
    <row r="10" spans="2:9" ht="12.75">
      <c r="B10" s="27" t="s">
        <v>55</v>
      </c>
      <c r="C10" s="28">
        <v>6.8</v>
      </c>
      <c r="D10" s="28">
        <v>2.4</v>
      </c>
      <c r="E10" s="29" t="s">
        <v>24</v>
      </c>
      <c r="G10"/>
      <c r="H10"/>
      <c r="I10"/>
    </row>
    <row r="11" spans="2:9" ht="15.75">
      <c r="B11" s="79" t="s">
        <v>86</v>
      </c>
      <c r="C11" s="80">
        <v>24</v>
      </c>
      <c r="D11" s="80">
        <v>12</v>
      </c>
      <c r="E11" s="29" t="s">
        <v>24</v>
      </c>
      <c r="G11"/>
      <c r="H11"/>
      <c r="I11"/>
    </row>
    <row r="12" spans="2:9" ht="12.75">
      <c r="B12" s="81"/>
      <c r="C12" s="82"/>
      <c r="D12" s="82"/>
      <c r="E12" s="77"/>
      <c r="F12" s="41"/>
      <c r="G12"/>
      <c r="H12"/>
      <c r="I12"/>
    </row>
    <row r="13" spans="2:9" ht="12.75">
      <c r="B13" s="27" t="s">
        <v>87</v>
      </c>
      <c r="C13" s="83">
        <f>C$23*(EXP(-C$21*C11)-EXP(-C$22*C11))</f>
        <v>0.017997601227659227</v>
      </c>
      <c r="D13" s="83">
        <f>D$23*(EXP(-D$21*D11)-EXP(-D$22*D11))</f>
        <v>0.024436659245435078</v>
      </c>
      <c r="E13" s="29" t="s">
        <v>40</v>
      </c>
      <c r="G13"/>
      <c r="H13"/>
      <c r="I13"/>
    </row>
    <row r="14" spans="2:46" ht="12.75">
      <c r="B14" s="27" t="s">
        <v>46</v>
      </c>
      <c r="C14" s="84">
        <f>C$23*(C$22-C$21)/(C$22*C$21)</f>
        <v>1.622381706545832</v>
      </c>
      <c r="D14" s="84">
        <f>D$23*(D$22-D$21)/(D$22*D$21)</f>
        <v>1.4799208427255317</v>
      </c>
      <c r="E14" s="29" t="s">
        <v>47</v>
      </c>
      <c r="G14" s="41"/>
      <c r="H14" s="41"/>
      <c r="I14" s="41"/>
      <c r="AT14" s="34"/>
    </row>
    <row r="15" spans="2:46" ht="12.75">
      <c r="B15" s="85" t="s">
        <v>88</v>
      </c>
      <c r="C15" s="48">
        <f>C$14-(C13/C$21)</f>
        <v>1.4458193662803525</v>
      </c>
      <c r="D15" s="48">
        <f>D$14-(D13/D$21)</f>
        <v>1.3953096896632533</v>
      </c>
      <c r="E15" s="86" t="s">
        <v>47</v>
      </c>
      <c r="G15"/>
      <c r="H15"/>
      <c r="I15"/>
      <c r="AT15" s="20"/>
    </row>
    <row r="16" spans="2:46" ht="12.75">
      <c r="B16" s="87" t="s">
        <v>89</v>
      </c>
      <c r="C16" s="88"/>
      <c r="D16" s="82"/>
      <c r="E16" s="89"/>
      <c r="G16"/>
      <c r="H16"/>
      <c r="I16"/>
      <c r="AT16" s="20"/>
    </row>
    <row r="17" spans="2:46" ht="12.75">
      <c r="B17" s="27" t="s">
        <v>90</v>
      </c>
      <c r="C17" s="83">
        <f>C$23*(EXP(-C$21*C$19)/D$93-EXP(-C$22*C$19)/D$94)</f>
        <v>0.12326293452004723</v>
      </c>
      <c r="D17" s="83">
        <f>D$23*(EXP(-D$21*D19)/G$93-EXP(-D$22*D19)/G$94)</f>
        <v>0.23329249405554578</v>
      </c>
      <c r="E17" s="29" t="s">
        <v>40</v>
      </c>
      <c r="G17"/>
      <c r="H17"/>
      <c r="I17"/>
      <c r="AT17" s="20"/>
    </row>
    <row r="18" spans="2:46" ht="12.75">
      <c r="B18" s="27" t="s">
        <v>91</v>
      </c>
      <c r="C18" s="83">
        <f>C$23*C$24*(EXP(-C$21*C$11)-EXP(-C$22*C$11))</f>
        <v>0.019704064786966242</v>
      </c>
      <c r="D18" s="83">
        <f>D23*D24*(EXP(-D21*D11)-EXP(-D22*D11))</f>
        <v>0.02522493857593298</v>
      </c>
      <c r="E18" s="29" t="s">
        <v>40</v>
      </c>
      <c r="G18"/>
      <c r="H18"/>
      <c r="I18"/>
      <c r="AT18" s="20"/>
    </row>
    <row r="19" spans="2:46" ht="12.75">
      <c r="B19" s="27" t="s">
        <v>92</v>
      </c>
      <c r="C19" s="83">
        <f>LN((C$22/C$21)*((1-EXP(-C$21*C$11))/(1-EXP(-C$22*C$11))))*(1/(C$22-C$21))</f>
        <v>3.7718910931281946</v>
      </c>
      <c r="D19" s="83">
        <f>LN((D22/D21)*((1-EXP(-D21*D11))/(1-EXP(-D22*D11))))*(1/(D22-D21))</f>
        <v>2.2063467039141575</v>
      </c>
      <c r="E19" s="29" t="s">
        <v>24</v>
      </c>
      <c r="G19"/>
      <c r="H19"/>
      <c r="I19"/>
      <c r="AT19" s="20"/>
    </row>
    <row r="20" spans="2:46" ht="12.75">
      <c r="B20" s="85" t="s">
        <v>88</v>
      </c>
      <c r="C20" s="90">
        <f>C14</f>
        <v>1.622381706545832</v>
      </c>
      <c r="D20" s="90">
        <f>D14</f>
        <v>1.4799208427255317</v>
      </c>
      <c r="E20" s="86" t="s">
        <v>47</v>
      </c>
      <c r="G20"/>
      <c r="H20"/>
      <c r="I20"/>
      <c r="AT20" s="20"/>
    </row>
    <row r="21" spans="2:46" ht="14.25">
      <c r="B21" s="91" t="s">
        <v>34</v>
      </c>
      <c r="C21" s="92">
        <f>LN(2)/C10</f>
        <v>0.10193340890587431</v>
      </c>
      <c r="D21" s="92">
        <f>LN(2)/D10</f>
        <v>0.28881132523331055</v>
      </c>
      <c r="E21" s="93" t="s">
        <v>35</v>
      </c>
      <c r="G21"/>
      <c r="H21"/>
      <c r="I21"/>
      <c r="AT21" s="20"/>
    </row>
    <row r="22" spans="2:63" ht="14.25">
      <c r="B22" s="27" t="s">
        <v>36</v>
      </c>
      <c r="C22" s="83">
        <f>C91</f>
        <v>0.49900805392551906</v>
      </c>
      <c r="D22" s="83">
        <f>F91</f>
        <v>0.6234187073974786</v>
      </c>
      <c r="E22" s="29" t="s">
        <v>35</v>
      </c>
      <c r="G22"/>
      <c r="H22"/>
      <c r="I22"/>
      <c r="AT22" s="20"/>
      <c r="AY22" s="94"/>
      <c r="AZ22" s="94"/>
      <c r="BA22" s="39"/>
      <c r="BB22" s="39"/>
      <c r="BC22" s="39"/>
      <c r="BD22" s="39"/>
      <c r="BE22" s="39"/>
      <c r="BF22" s="39"/>
      <c r="BG22" s="39"/>
      <c r="BH22" s="59"/>
      <c r="BI22" s="59"/>
      <c r="BJ22" s="39"/>
      <c r="BK22" s="59"/>
    </row>
    <row r="23" spans="2:49" ht="12.75">
      <c r="B23" s="27" t="s">
        <v>39</v>
      </c>
      <c r="C23" s="83">
        <f>C8/(EXP(-C21*C9)-EXP(-C22*C9))</f>
        <v>0.2078284448570271</v>
      </c>
      <c r="D23" s="83">
        <f>D8/(EXP(-D21*D9)-EXP(-D22*D9))</f>
        <v>0.7963372263513235</v>
      </c>
      <c r="E23" s="29" t="s">
        <v>40</v>
      </c>
      <c r="G23"/>
      <c r="H23"/>
      <c r="I23"/>
      <c r="AT23" s="20"/>
      <c r="AU23" s="39"/>
      <c r="AV23" s="44"/>
      <c r="AW23" s="44"/>
    </row>
    <row r="24" spans="2:75" ht="12.75">
      <c r="B24" s="31" t="s">
        <v>93</v>
      </c>
      <c r="C24" s="37">
        <f>1/(1-EXP(-C21*C11))</f>
        <v>1.0948161667614056</v>
      </c>
      <c r="D24" s="37">
        <f>1/(1-EXP(-D21*D11))</f>
        <v>1.032258064516129</v>
      </c>
      <c r="E24" s="32" t="s">
        <v>38</v>
      </c>
      <c r="G24"/>
      <c r="H24"/>
      <c r="I24"/>
      <c r="AT24" s="20"/>
      <c r="AU24" s="39"/>
      <c r="AV24" s="44"/>
      <c r="AW24" s="44"/>
      <c r="AX24" s="45" t="s">
        <v>48</v>
      </c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</row>
    <row r="25" spans="7:76" ht="12.75">
      <c r="G25"/>
      <c r="H25"/>
      <c r="I25"/>
      <c r="AT25" s="7" t="s">
        <v>49</v>
      </c>
      <c r="AU25" t="s">
        <v>50</v>
      </c>
      <c r="AX25" s="48">
        <v>0.25</v>
      </c>
      <c r="AY25" s="48">
        <v>0.5</v>
      </c>
      <c r="AZ25" s="48">
        <v>1</v>
      </c>
      <c r="BA25" s="48">
        <v>1.5</v>
      </c>
      <c r="BB25" s="48">
        <v>2</v>
      </c>
      <c r="BC25" s="48">
        <v>2.5</v>
      </c>
      <c r="BD25" s="48">
        <v>3</v>
      </c>
      <c r="BE25" s="48">
        <v>4</v>
      </c>
      <c r="BF25" s="48">
        <v>5</v>
      </c>
      <c r="BG25" s="48">
        <v>6</v>
      </c>
      <c r="BH25" s="49">
        <v>7</v>
      </c>
      <c r="BI25" s="49">
        <v>8</v>
      </c>
      <c r="BJ25" s="48">
        <v>9</v>
      </c>
      <c r="BK25" s="48">
        <v>10</v>
      </c>
      <c r="BL25" s="48">
        <v>12</v>
      </c>
      <c r="BM25" s="48">
        <v>14</v>
      </c>
      <c r="BN25" s="48">
        <v>16</v>
      </c>
      <c r="BO25" s="48">
        <v>18</v>
      </c>
      <c r="BP25" s="48">
        <v>20</v>
      </c>
      <c r="BQ25" s="48">
        <v>24</v>
      </c>
      <c r="BR25" s="48">
        <f aca="true" t="shared" si="0" ref="BR25:BW25">BQ25+8</f>
        <v>32</v>
      </c>
      <c r="BS25" s="48">
        <f t="shared" si="0"/>
        <v>40</v>
      </c>
      <c r="BT25" s="48">
        <f t="shared" si="0"/>
        <v>48</v>
      </c>
      <c r="BU25" s="48">
        <f t="shared" si="0"/>
        <v>56</v>
      </c>
      <c r="BV25" s="48">
        <f t="shared" si="0"/>
        <v>64</v>
      </c>
      <c r="BW25" s="50">
        <f t="shared" si="0"/>
        <v>72</v>
      </c>
      <c r="BX25">
        <v>72</v>
      </c>
    </row>
    <row r="26" spans="3:76" ht="12.75">
      <c r="C26" s="83"/>
      <c r="G26"/>
      <c r="H26"/>
      <c r="I26"/>
      <c r="AT26" s="7"/>
      <c r="AX26" s="48">
        <v>4</v>
      </c>
      <c r="AY26" s="48">
        <v>5</v>
      </c>
      <c r="AZ26" s="48">
        <v>6</v>
      </c>
      <c r="BA26" s="48">
        <v>7</v>
      </c>
      <c r="BB26" s="48">
        <v>8</v>
      </c>
      <c r="BC26" s="48">
        <v>9</v>
      </c>
      <c r="BD26" s="48">
        <v>10</v>
      </c>
      <c r="BE26" s="48">
        <f aca="true" t="shared" si="1" ref="BE26:BW26">BD26+1</f>
        <v>11</v>
      </c>
      <c r="BF26" s="48">
        <f t="shared" si="1"/>
        <v>12</v>
      </c>
      <c r="BG26" s="48">
        <f t="shared" si="1"/>
        <v>13</v>
      </c>
      <c r="BH26" s="49">
        <f t="shared" si="1"/>
        <v>14</v>
      </c>
      <c r="BI26" s="49">
        <f t="shared" si="1"/>
        <v>15</v>
      </c>
      <c r="BJ26" s="48">
        <f t="shared" si="1"/>
        <v>16</v>
      </c>
      <c r="BK26" s="48">
        <f t="shared" si="1"/>
        <v>17</v>
      </c>
      <c r="BL26" s="48">
        <f t="shared" si="1"/>
        <v>18</v>
      </c>
      <c r="BM26" s="48">
        <f t="shared" si="1"/>
        <v>19</v>
      </c>
      <c r="BN26" s="48">
        <f t="shared" si="1"/>
        <v>20</v>
      </c>
      <c r="BO26" s="48">
        <f t="shared" si="1"/>
        <v>21</v>
      </c>
      <c r="BP26" s="48">
        <f t="shared" si="1"/>
        <v>22</v>
      </c>
      <c r="BQ26" s="48">
        <f t="shared" si="1"/>
        <v>23</v>
      </c>
      <c r="BR26" s="48">
        <f t="shared" si="1"/>
        <v>24</v>
      </c>
      <c r="BS26" s="48">
        <f t="shared" si="1"/>
        <v>25</v>
      </c>
      <c r="BT26" s="48">
        <f t="shared" si="1"/>
        <v>26</v>
      </c>
      <c r="BU26" s="48">
        <f t="shared" si="1"/>
        <v>27</v>
      </c>
      <c r="BV26" s="48">
        <f t="shared" si="1"/>
        <v>28</v>
      </c>
      <c r="BW26" s="48">
        <f t="shared" si="1"/>
        <v>29</v>
      </c>
      <c r="BX26">
        <v>30</v>
      </c>
    </row>
    <row r="27" spans="3:76" ht="12.75">
      <c r="C27" s="83"/>
      <c r="G27"/>
      <c r="H27"/>
      <c r="I27"/>
      <c r="AT27" s="7"/>
      <c r="AX27" s="48">
        <v>0.5</v>
      </c>
      <c r="AY27" s="48">
        <v>1</v>
      </c>
      <c r="AZ27" s="48">
        <v>1.5</v>
      </c>
      <c r="BA27" s="48">
        <v>2</v>
      </c>
      <c r="BB27" s="48">
        <v>2.5</v>
      </c>
      <c r="BC27" s="48">
        <v>3</v>
      </c>
      <c r="BD27" s="48">
        <v>4</v>
      </c>
      <c r="BE27" s="48">
        <v>5</v>
      </c>
      <c r="BF27" s="48">
        <v>6</v>
      </c>
      <c r="BG27" s="48">
        <v>7</v>
      </c>
      <c r="BH27" s="49">
        <v>8</v>
      </c>
      <c r="BI27" s="49">
        <v>9</v>
      </c>
      <c r="BJ27" s="48">
        <v>10</v>
      </c>
      <c r="BK27" s="48">
        <v>12</v>
      </c>
      <c r="BL27" s="48">
        <v>14</v>
      </c>
      <c r="BM27" s="48">
        <v>16</v>
      </c>
      <c r="BN27" s="48">
        <v>18</v>
      </c>
      <c r="BO27" s="48">
        <v>20</v>
      </c>
      <c r="BP27" s="48">
        <v>24</v>
      </c>
      <c r="BQ27" s="48">
        <f aca="true" t="shared" si="2" ref="BQ27:BV27">BP27+8</f>
        <v>32</v>
      </c>
      <c r="BR27" s="48">
        <f t="shared" si="2"/>
        <v>40</v>
      </c>
      <c r="BS27" s="48">
        <f t="shared" si="2"/>
        <v>48</v>
      </c>
      <c r="BT27" s="48">
        <f t="shared" si="2"/>
        <v>56</v>
      </c>
      <c r="BU27" s="48">
        <f t="shared" si="2"/>
        <v>64</v>
      </c>
      <c r="BV27" s="50">
        <f t="shared" si="2"/>
        <v>72</v>
      </c>
      <c r="BW27" s="50">
        <v>72</v>
      </c>
      <c r="BX27">
        <v>72</v>
      </c>
    </row>
    <row r="28" spans="3:76" ht="12.75">
      <c r="C28" s="83"/>
      <c r="G28"/>
      <c r="H28"/>
      <c r="I28"/>
      <c r="AT28" s="51" t="s">
        <v>51</v>
      </c>
      <c r="AU28" s="45" t="s">
        <v>50</v>
      </c>
      <c r="AX28" s="48">
        <f aca="true" t="shared" si="3" ref="AX28:BX28">LN(2)/AX25</f>
        <v>2.772588722239781</v>
      </c>
      <c r="AY28" s="48">
        <f t="shared" si="3"/>
        <v>1.3862943611198906</v>
      </c>
      <c r="AZ28" s="48">
        <f t="shared" si="3"/>
        <v>0.6931471805599453</v>
      </c>
      <c r="BA28" s="48">
        <f t="shared" si="3"/>
        <v>0.46209812037329684</v>
      </c>
      <c r="BB28" s="48">
        <f t="shared" si="3"/>
        <v>0.34657359027997264</v>
      </c>
      <c r="BC28" s="48">
        <f t="shared" si="3"/>
        <v>0.2772588722239781</v>
      </c>
      <c r="BD28" s="52">
        <f t="shared" si="3"/>
        <v>0.23104906018664842</v>
      </c>
      <c r="BE28" s="52">
        <f t="shared" si="3"/>
        <v>0.17328679513998632</v>
      </c>
      <c r="BF28" s="52">
        <f t="shared" si="3"/>
        <v>0.13862943611198905</v>
      </c>
      <c r="BG28" s="52">
        <f t="shared" si="3"/>
        <v>0.11552453009332421</v>
      </c>
      <c r="BH28" s="53">
        <f t="shared" si="3"/>
        <v>0.09902102579427789</v>
      </c>
      <c r="BI28" s="53">
        <f t="shared" si="3"/>
        <v>0.08664339756999316</v>
      </c>
      <c r="BJ28" s="52">
        <f t="shared" si="3"/>
        <v>0.07701635339554948</v>
      </c>
      <c r="BK28" s="52">
        <f t="shared" si="3"/>
        <v>0.06931471805599453</v>
      </c>
      <c r="BL28" s="52">
        <f t="shared" si="3"/>
        <v>0.057762265046662105</v>
      </c>
      <c r="BM28" s="52">
        <f t="shared" si="3"/>
        <v>0.049510512897138946</v>
      </c>
      <c r="BN28" s="52">
        <f t="shared" si="3"/>
        <v>0.04332169878499658</v>
      </c>
      <c r="BO28" s="52">
        <f t="shared" si="3"/>
        <v>0.03850817669777474</v>
      </c>
      <c r="BP28" s="52">
        <f t="shared" si="3"/>
        <v>0.03465735902799726</v>
      </c>
      <c r="BQ28" s="52">
        <f t="shared" si="3"/>
        <v>0.028881132523331052</v>
      </c>
      <c r="BR28" s="52">
        <f t="shared" si="3"/>
        <v>0.02166084939249829</v>
      </c>
      <c r="BS28" s="52">
        <f t="shared" si="3"/>
        <v>0.01732867951399863</v>
      </c>
      <c r="BT28" s="52">
        <f t="shared" si="3"/>
        <v>0.014440566261665526</v>
      </c>
      <c r="BU28" s="52">
        <f t="shared" si="3"/>
        <v>0.012377628224284737</v>
      </c>
      <c r="BV28" s="52">
        <f t="shared" si="3"/>
        <v>0.010830424696249145</v>
      </c>
      <c r="BW28" s="52">
        <f t="shared" si="3"/>
        <v>0.009627044174443685</v>
      </c>
      <c r="BX28" s="52">
        <f t="shared" si="3"/>
        <v>0.009627044174443685</v>
      </c>
    </row>
    <row r="29" spans="7:76" ht="12.75">
      <c r="G29"/>
      <c r="H29"/>
      <c r="I29"/>
      <c r="AT29" s="7" t="s">
        <v>52</v>
      </c>
      <c r="AU29" s="54">
        <v>0.1</v>
      </c>
      <c r="AV29">
        <v>5</v>
      </c>
      <c r="AW29" s="54">
        <v>0.25</v>
      </c>
      <c r="AX29" s="20">
        <v>1.39093510710338</v>
      </c>
      <c r="AY29" s="20">
        <v>1.51982799377572</v>
      </c>
      <c r="AZ29" s="20">
        <v>1.61961500574281</v>
      </c>
      <c r="BA29" s="20">
        <v>1.66838591669</v>
      </c>
      <c r="BB29" s="20">
        <v>1.69983772586725</v>
      </c>
      <c r="BC29" s="20">
        <v>1.7222224639697299</v>
      </c>
      <c r="BD29" s="20">
        <v>1.73980959902136</v>
      </c>
      <c r="BE29" s="20">
        <v>1.7664128471124</v>
      </c>
      <c r="BF29" s="20">
        <v>1.78532983501077</v>
      </c>
      <c r="BG29" s="20">
        <v>1.80037335489135</v>
      </c>
      <c r="BH29" s="34">
        <v>1.81257915540905</v>
      </c>
      <c r="BI29" s="34">
        <v>1.8228216453031</v>
      </c>
      <c r="BJ29" s="20">
        <v>1.8318697742805001</v>
      </c>
      <c r="BK29" s="20">
        <v>1.8394780473742</v>
      </c>
      <c r="BL29" s="20">
        <v>1.85247999363686</v>
      </c>
      <c r="BM29" s="20">
        <v>1.86332286012046</v>
      </c>
      <c r="BN29" s="20">
        <v>1.8722728462242</v>
      </c>
      <c r="BO29" s="20">
        <v>1.88024177589548</v>
      </c>
      <c r="BP29" s="20">
        <v>1.88705437805096</v>
      </c>
      <c r="BQ29" s="20">
        <v>1.89872518158949</v>
      </c>
      <c r="BR29" s="20">
        <v>1.91645394854992</v>
      </c>
      <c r="BS29" s="20">
        <v>1.92941892571429</v>
      </c>
      <c r="BT29" s="20">
        <v>1.94001815500766</v>
      </c>
      <c r="BU29" s="20">
        <v>1.94816836172713</v>
      </c>
      <c r="BV29" s="20">
        <v>1.95568775031351</v>
      </c>
      <c r="BW29" s="20">
        <v>1.96175321418678</v>
      </c>
      <c r="BX29" s="20">
        <v>1.96175321418678</v>
      </c>
    </row>
    <row r="30" spans="3:76" ht="12.75">
      <c r="C30" s="83"/>
      <c r="G30"/>
      <c r="H30"/>
      <c r="I30"/>
      <c r="AT30" s="55" t="s">
        <v>53</v>
      </c>
      <c r="AU30" s="54">
        <v>0.25</v>
      </c>
      <c r="AV30">
        <v>6</v>
      </c>
      <c r="AW30" s="54">
        <v>0.5</v>
      </c>
      <c r="AX30" s="20">
        <v>0.743901550485179</v>
      </c>
      <c r="AY30" s="20">
        <v>0.9425041061680811</v>
      </c>
      <c r="AZ30" s="20">
        <v>1.08457627793433</v>
      </c>
      <c r="BA30" s="20">
        <v>1.15075643986031</v>
      </c>
      <c r="BB30" s="20">
        <v>1.19214912501853</v>
      </c>
      <c r="BC30" s="20">
        <v>1.22167499707077</v>
      </c>
      <c r="BD30" s="20">
        <v>1.24427712080184</v>
      </c>
      <c r="BE30" s="20">
        <v>1.27760921430409</v>
      </c>
      <c r="BF30" s="20">
        <v>1.30168094929358</v>
      </c>
      <c r="BG30" s="20">
        <v>1.32035403281767</v>
      </c>
      <c r="BH30" s="34">
        <v>1.33545790068938</v>
      </c>
      <c r="BI30" s="34">
        <v>1.34811006848024</v>
      </c>
      <c r="BJ30" s="20">
        <v>1.35888620440587</v>
      </c>
      <c r="BK30" s="20">
        <v>1.36828688490213</v>
      </c>
      <c r="BL30" s="20">
        <v>1.38399478944173</v>
      </c>
      <c r="BM30" s="20">
        <v>1.39689644914252</v>
      </c>
      <c r="BN30" s="20">
        <v>1.40756084948636</v>
      </c>
      <c r="BO30" s="20">
        <v>1.41697317260304</v>
      </c>
      <c r="BP30" s="20">
        <v>1.42504487455139</v>
      </c>
      <c r="BQ30" s="20">
        <v>1.43870053290074</v>
      </c>
      <c r="BR30" s="20">
        <v>1.45924166487808</v>
      </c>
      <c r="BS30" s="20">
        <v>1.47450763911698</v>
      </c>
      <c r="BT30" s="20">
        <v>1.48643047885443</v>
      </c>
      <c r="BU30" s="20">
        <v>1.4963760540124</v>
      </c>
      <c r="BV30" s="20">
        <v>1.50474263627169</v>
      </c>
      <c r="BW30" s="20">
        <v>1.51201696949613</v>
      </c>
      <c r="BX30" s="20">
        <v>1.51201696949613</v>
      </c>
    </row>
    <row r="31" spans="7:76" ht="12.75">
      <c r="G31"/>
      <c r="H31"/>
      <c r="I31"/>
      <c r="AU31" s="54">
        <v>0.5</v>
      </c>
      <c r="AV31">
        <v>7</v>
      </c>
      <c r="AW31" s="54">
        <v>0.75</v>
      </c>
      <c r="AX31" s="20">
        <v>0.14176323027578802</v>
      </c>
      <c r="AY31" s="20">
        <v>0.44294986957786203</v>
      </c>
      <c r="AZ31" s="20">
        <v>0.6414741105040991</v>
      </c>
      <c r="BA31" s="20">
        <v>0.72965066833592</v>
      </c>
      <c r="BB31" s="20">
        <v>0.7834747875822461</v>
      </c>
      <c r="BC31" s="20">
        <v>0.8211858826088451</v>
      </c>
      <c r="BD31" s="20">
        <v>0.849726444196328</v>
      </c>
      <c r="BE31" s="20">
        <v>0.8911470304487711</v>
      </c>
      <c r="BF31" s="20">
        <v>0.9206450014067871</v>
      </c>
      <c r="BG31" s="20">
        <v>0.9433460983565911</v>
      </c>
      <c r="BH31" s="34">
        <v>0.961516011448949</v>
      </c>
      <c r="BI31" s="34">
        <v>0.97657921864011</v>
      </c>
      <c r="BJ31" s="20">
        <v>0.989494312772709</v>
      </c>
      <c r="BK31" s="20">
        <v>1.00065095362959</v>
      </c>
      <c r="BL31" s="20">
        <v>1.01932403715369</v>
      </c>
      <c r="BM31" s="20">
        <v>1.0344279050254</v>
      </c>
      <c r="BN31" s="20">
        <v>1.03742649794062</v>
      </c>
      <c r="BO31" s="20">
        <v>1.05785620874189</v>
      </c>
      <c r="BP31" s="20">
        <v>1.06725688923815</v>
      </c>
      <c r="BQ31" s="20">
        <v>1.08296479377775</v>
      </c>
      <c r="BR31" s="20">
        <v>1.10663278892012</v>
      </c>
      <c r="BS31" s="20">
        <v>1.12401487888741</v>
      </c>
      <c r="BT31" s="20">
        <v>1.13767053723676</v>
      </c>
      <c r="BU31" s="20">
        <v>1.14875685132179</v>
      </c>
      <c r="BV31" s="20">
        <v>1.1582116692141</v>
      </c>
      <c r="BW31" s="20">
        <v>1.16631168065959</v>
      </c>
      <c r="BX31" s="20">
        <v>1.16631168065959</v>
      </c>
    </row>
    <row r="32" spans="7:76" ht="12.75">
      <c r="G32"/>
      <c r="H32"/>
      <c r="I32"/>
      <c r="AU32" s="54">
        <v>0.75</v>
      </c>
      <c r="AV32">
        <v>8</v>
      </c>
      <c r="AW32" s="54">
        <v>1</v>
      </c>
      <c r="AX32" s="20">
        <v>-0.295163393788596</v>
      </c>
      <c r="AY32" s="20">
        <v>0.107752498740162</v>
      </c>
      <c r="AZ32" s="20">
        <v>0.358296608355735</v>
      </c>
      <c r="BA32" s="20">
        <v>0.46545721057571304</v>
      </c>
      <c r="BB32" s="20">
        <v>0.529622818133443</v>
      </c>
      <c r="BC32" s="20">
        <v>0.57399652277935</v>
      </c>
      <c r="BD32" s="20">
        <v>0.607347776768413</v>
      </c>
      <c r="BE32" s="20">
        <v>0.6553785755318511</v>
      </c>
      <c r="BF32" s="20">
        <v>0.6892200372638351</v>
      </c>
      <c r="BG32" s="20">
        <v>0.7150418210700431</v>
      </c>
      <c r="BH32" s="34">
        <v>0.7356787259059051</v>
      </c>
      <c r="BI32" s="34">
        <v>0.752701320223626</v>
      </c>
      <c r="BJ32" s="20">
        <v>0.7672300981107181</v>
      </c>
      <c r="BK32" s="20">
        <v>0.779704690689162</v>
      </c>
      <c r="BL32" s="20">
        <v>0.8005108768943681</v>
      </c>
      <c r="BM32" s="20">
        <v>0.8173008783933211</v>
      </c>
      <c r="BN32" s="20">
        <v>0.8312937443770091</v>
      </c>
      <c r="BO32" s="20">
        <v>0.8432327780980091</v>
      </c>
      <c r="BP32" s="20">
        <v>0.8535765436196411</v>
      </c>
      <c r="BQ32" s="20">
        <v>0.870901127691986</v>
      </c>
      <c r="BR32" s="20">
        <v>0.896801697664922</v>
      </c>
      <c r="BS32" s="20">
        <v>0.915716337945994</v>
      </c>
      <c r="BT32" s="20">
        <v>0.9304905653062691</v>
      </c>
      <c r="BU32" s="20">
        <v>0.9426032488421571</v>
      </c>
      <c r="BV32" s="20">
        <v>0.952792443044092</v>
      </c>
      <c r="BW32" s="20">
        <v>0.961563462362069</v>
      </c>
      <c r="BX32" s="20">
        <v>0.961563462362069</v>
      </c>
    </row>
    <row r="33" spans="7:76" ht="12.75">
      <c r="G33"/>
      <c r="H33"/>
      <c r="I33"/>
      <c r="AE33" t="s">
        <v>94</v>
      </c>
      <c r="AU33" s="54">
        <v>1</v>
      </c>
      <c r="AV33">
        <v>9</v>
      </c>
      <c r="AW33" s="54">
        <v>2</v>
      </c>
      <c r="AX33" s="20">
        <v>-0.667965722972482</v>
      </c>
      <c r="AY33" s="20">
        <v>-0.159204101152906</v>
      </c>
      <c r="AZ33" s="20">
        <v>0.14182589451107502</v>
      </c>
      <c r="BA33" s="20">
        <v>0.266819454909126</v>
      </c>
      <c r="BB33" s="20">
        <v>0.34052343078991504</v>
      </c>
      <c r="BC33" s="20">
        <v>0.3910233693701</v>
      </c>
      <c r="BD33" s="20">
        <v>0.42863685926860906</v>
      </c>
      <c r="BE33" s="34">
        <v>0.482430491568179</v>
      </c>
      <c r="BF33" s="34">
        <v>0.520103440670984</v>
      </c>
      <c r="BG33" s="20">
        <v>0.548671894086594</v>
      </c>
      <c r="BH33" s="34">
        <v>0.57135939275384</v>
      </c>
      <c r="BI33" s="34">
        <v>0.59011703478479</v>
      </c>
      <c r="BJ33" s="20">
        <v>0.605951157564873</v>
      </c>
      <c r="BK33" s="20">
        <v>0.619615005742806</v>
      </c>
      <c r="BL33" s="20">
        <v>0.642266618902673</v>
      </c>
      <c r="BM33" s="20">
        <v>0.660486015784968</v>
      </c>
      <c r="BN33" s="20">
        <v>0.6755950563867461</v>
      </c>
      <c r="BO33" s="20">
        <v>0.688464317108728</v>
      </c>
      <c r="BP33" s="20">
        <v>0.6996383033798631</v>
      </c>
      <c r="BQ33" s="20">
        <v>0.7182940414897091</v>
      </c>
      <c r="BR33" s="20">
        <v>0.7459721348545241</v>
      </c>
      <c r="BS33" s="20">
        <v>0.7661748123123031</v>
      </c>
      <c r="BT33" s="20">
        <v>0.781970673912552</v>
      </c>
      <c r="BU33" s="20">
        <v>0.7947667979408211</v>
      </c>
      <c r="BV33" s="20">
        <v>0.805568817548556</v>
      </c>
      <c r="BW33" s="20">
        <v>0.8148466686044631</v>
      </c>
      <c r="BX33" s="20">
        <v>0.8148466686044631</v>
      </c>
    </row>
    <row r="34" spans="7:76" ht="12.75">
      <c r="G34"/>
      <c r="H34"/>
      <c r="I34"/>
      <c r="AC34" s="10"/>
      <c r="AD34" s="7" t="s">
        <v>95</v>
      </c>
      <c r="AE34">
        <v>0</v>
      </c>
      <c r="AF34" s="10">
        <f aca="true" t="shared" si="4" ref="AF34:AF41">AG34</f>
        <v>0</v>
      </c>
      <c r="AG34" s="39">
        <v>0</v>
      </c>
      <c r="AH34" s="39"/>
      <c r="AQ34" s="10"/>
      <c r="AR34" s="10"/>
      <c r="AS34" s="10"/>
      <c r="AU34" s="56">
        <v>2</v>
      </c>
      <c r="AV34" s="6">
        <v>10</v>
      </c>
      <c r="AW34" s="56">
        <v>3</v>
      </c>
      <c r="AX34" s="20">
        <v>-1.95573470008468</v>
      </c>
      <c r="AY34" s="20">
        <v>-0.968995718636463</v>
      </c>
      <c r="AZ34" s="20">
        <v>-0.460209033654259</v>
      </c>
      <c r="BA34" s="20">
        <v>-0.267686672528757</v>
      </c>
      <c r="BB34" s="20">
        <v>-0.159172772425614</v>
      </c>
      <c r="BC34" s="20">
        <v>-0.08695478716117269</v>
      </c>
      <c r="BD34" s="34">
        <v>-0.034234035817313796</v>
      </c>
      <c r="BE34" s="34">
        <v>0.0394537789617364</v>
      </c>
      <c r="BF34" s="34">
        <v>0.0899757226877289</v>
      </c>
      <c r="BG34" s="39">
        <v>0.127623049598029</v>
      </c>
      <c r="BH34" s="35">
        <v>0.157245462845403</v>
      </c>
      <c r="BI34" s="35">
        <v>0.18141479625428403</v>
      </c>
      <c r="BJ34" s="39">
        <v>0.20169747573922803</v>
      </c>
      <c r="BK34" s="20">
        <v>0.21908655716925202</v>
      </c>
      <c r="BL34" s="20">
        <v>0.24760506415077</v>
      </c>
      <c r="BM34" s="20">
        <v>0.27032939708985804</v>
      </c>
      <c r="BN34" s="20">
        <v>0.28907587889822</v>
      </c>
      <c r="BO34" s="20">
        <v>0.304921161900892</v>
      </c>
      <c r="BP34" s="20">
        <v>0.31860586405505603</v>
      </c>
      <c r="BQ34" s="20">
        <v>0.341236623238692</v>
      </c>
      <c r="BR34" s="20">
        <v>0.374565060722765</v>
      </c>
      <c r="BS34" s="20">
        <v>0.39863432453839204</v>
      </c>
      <c r="BT34" s="20">
        <v>0.417239121467381</v>
      </c>
      <c r="BU34" s="20">
        <v>0.43232779226160406</v>
      </c>
      <c r="BV34" s="20">
        <v>0.44494993404981803</v>
      </c>
      <c r="BW34" s="20">
        <v>0.45574299644849</v>
      </c>
      <c r="BX34" s="20">
        <v>0.45574299644849</v>
      </c>
    </row>
    <row r="35" spans="7:76" ht="12.75">
      <c r="G35"/>
      <c r="H35"/>
      <c r="I35"/>
      <c r="AC35" s="10"/>
      <c r="AD35" s="7"/>
      <c r="AE35" s="10">
        <f>AE34+(AE37-AE34)/3</f>
        <v>0.7666666666666666</v>
      </c>
      <c r="AF35" s="10">
        <f t="shared" si="4"/>
        <v>0.14439816331965322</v>
      </c>
      <c r="AG35" s="59">
        <f aca="true" t="shared" si="5" ref="AG35:AG66">D$23*(EXP(-D$21*AE35)-EXP(-D$22*AE35))</f>
        <v>0.14439816331965322</v>
      </c>
      <c r="AH35" s="39"/>
      <c r="AQ35" s="10"/>
      <c r="AR35" s="10"/>
      <c r="AS35" s="10"/>
      <c r="AU35" s="56">
        <v>3</v>
      </c>
      <c r="AV35" s="6">
        <v>11</v>
      </c>
      <c r="AW35" s="56">
        <v>4</v>
      </c>
      <c r="AX35" s="20">
        <v>-3.16857818293498</v>
      </c>
      <c r="AY35" s="20">
        <v>-1.63404427733432</v>
      </c>
      <c r="AZ35" s="20">
        <v>-0.8971548357545821</v>
      </c>
      <c r="BA35" s="20">
        <v>-0.636294027145276</v>
      </c>
      <c r="BB35" s="20">
        <v>-0.49425327693553506</v>
      </c>
      <c r="BC35" s="20">
        <v>-0.40175680834637706</v>
      </c>
      <c r="BD35" s="34">
        <v>-0.335264031481295</v>
      </c>
      <c r="BE35" s="20">
        <v>-0.24379764218170702</v>
      </c>
      <c r="BF35" s="20">
        <v>-0.18208442757245502</v>
      </c>
      <c r="BG35" s="39">
        <v>-0.13661765155921202</v>
      </c>
      <c r="BH35" s="35">
        <v>-0.10119257345582401</v>
      </c>
      <c r="BI35" s="35">
        <v>-0.07245000145906101</v>
      </c>
      <c r="BJ35" s="39">
        <v>-0.0484682094576519</v>
      </c>
      <c r="BK35" s="20">
        <v>-0.0280287236002435</v>
      </c>
      <c r="BL35" s="20">
        <v>0.0053092368485165705</v>
      </c>
      <c r="BM35" s="20">
        <v>0.0316911686251464</v>
      </c>
      <c r="BN35" s="20">
        <v>0.0533089811240999</v>
      </c>
      <c r="BO35" s="20">
        <v>0.0715322226215185</v>
      </c>
      <c r="BP35" s="20">
        <v>0.08717781176115649</v>
      </c>
      <c r="BQ35" s="20">
        <v>0.112973459333154</v>
      </c>
      <c r="BR35" s="20">
        <v>0.150664353529561</v>
      </c>
      <c r="BS35" s="20">
        <v>0.177680759848778</v>
      </c>
      <c r="BT35" s="20">
        <v>0.19847013517223203</v>
      </c>
      <c r="BU35" s="20">
        <v>0.215254115449999</v>
      </c>
      <c r="BV35" s="20">
        <v>0.22923375304904703</v>
      </c>
      <c r="BW35" s="20">
        <v>0.24115284739780402</v>
      </c>
      <c r="BX35" s="20">
        <v>0.24115284739780402</v>
      </c>
    </row>
    <row r="36" spans="7:76" ht="12.75">
      <c r="G36"/>
      <c r="H36"/>
      <c r="I36"/>
      <c r="AC36" s="10"/>
      <c r="AD36" s="7"/>
      <c r="AE36" s="10">
        <f>AE34+2*(AE37-AE34)/3</f>
        <v>1.5333333333333332</v>
      </c>
      <c r="AF36" s="10">
        <f t="shared" si="4"/>
        <v>0.2052517254511972</v>
      </c>
      <c r="AG36" s="59">
        <f t="shared" si="5"/>
        <v>0.2052517254511972</v>
      </c>
      <c r="AH36" s="39"/>
      <c r="AQ36" s="10"/>
      <c r="AR36" s="10"/>
      <c r="AS36" s="10"/>
      <c r="AU36" s="54">
        <v>4</v>
      </c>
      <c r="AV36">
        <v>12</v>
      </c>
      <c r="AW36" s="54">
        <v>5</v>
      </c>
      <c r="AX36" s="20">
        <v>-4.3735569746687</v>
      </c>
      <c r="AY36" s="20">
        <v>-2.25676469574866</v>
      </c>
      <c r="AZ36" s="20">
        <v>-1.26999336582314</v>
      </c>
      <c r="BA36" s="20">
        <v>-0.9373240228092571</v>
      </c>
      <c r="BB36" s="20">
        <v>-0.76123902931824</v>
      </c>
      <c r="BC36" s="20">
        <v>-0.648609584857747</v>
      </c>
      <c r="BD36" s="20">
        <v>-0.5686362358410131</v>
      </c>
      <c r="BE36" s="20">
        <v>-0.46029676105217404</v>
      </c>
      <c r="BF36" s="20">
        <v>-0.387905205274422</v>
      </c>
      <c r="BG36" s="20">
        <v>-0.335264031481295</v>
      </c>
      <c r="BH36" s="34">
        <v>-0.294452719813228</v>
      </c>
      <c r="BI36" s="34">
        <v>-0.26156828517971403</v>
      </c>
      <c r="BJ36" s="20">
        <v>-0.23424951061534802</v>
      </c>
      <c r="BK36" s="20">
        <v>-0.211054272976252</v>
      </c>
      <c r="BL36" s="20">
        <v>-0.173413420390923</v>
      </c>
      <c r="BM36" s="20">
        <v>-0.143796930169763</v>
      </c>
      <c r="BN36" s="20">
        <v>-0.11962663965209601</v>
      </c>
      <c r="BO36" s="20">
        <v>-0.0993379790060363</v>
      </c>
      <c r="BP36" s="20">
        <v>-0.08194343849472879</v>
      </c>
      <c r="BQ36" s="20">
        <v>-0.0534151087352513</v>
      </c>
      <c r="BR36" s="20">
        <v>-0.0119541167657612</v>
      </c>
      <c r="BS36" s="20">
        <v>0.0175758683910744</v>
      </c>
      <c r="BT36" s="20">
        <v>0.0402185041985111</v>
      </c>
      <c r="BU36" s="20">
        <v>0.0584108390697802</v>
      </c>
      <c r="BV36" s="20">
        <v>0.0735350650587839</v>
      </c>
      <c r="BW36" s="20">
        <v>0.0864167835935765</v>
      </c>
      <c r="BX36" s="20">
        <v>0.0864167835935765</v>
      </c>
    </row>
    <row r="37" spans="7:76" ht="12.75">
      <c r="G37"/>
      <c r="H37"/>
      <c r="I37"/>
      <c r="AC37" s="10"/>
      <c r="AD37" s="7" t="s">
        <v>76</v>
      </c>
      <c r="AE37" s="10">
        <f>D$9</f>
        <v>2.3</v>
      </c>
      <c r="AF37" s="10">
        <f t="shared" si="4"/>
        <v>0.22</v>
      </c>
      <c r="AG37" s="59">
        <f t="shared" si="5"/>
        <v>0.22</v>
      </c>
      <c r="AH37" s="39"/>
      <c r="AQ37" s="10"/>
      <c r="AR37" s="10"/>
      <c r="AS37" s="10"/>
      <c r="AU37" s="54">
        <v>5</v>
      </c>
      <c r="AV37">
        <v>13</v>
      </c>
      <c r="AW37" s="54">
        <v>6</v>
      </c>
      <c r="AX37" s="20">
        <v>-5.5775743236288005</v>
      </c>
      <c r="AY37" s="20">
        <v>-2.86518562967954</v>
      </c>
      <c r="AZ37" s="20">
        <v>-1.61118858652648</v>
      </c>
      <c r="BA37" s="20">
        <v>-1.20252471246267</v>
      </c>
      <c r="BB37" s="20">
        <v>-0.9911869909479111</v>
      </c>
      <c r="BC37" s="20">
        <v>-0.858236769724212</v>
      </c>
      <c r="BD37" s="20">
        <v>-0.764850463526756</v>
      </c>
      <c r="BE37" s="20">
        <v>-0.639595945270061</v>
      </c>
      <c r="BF37" s="20">
        <v>-0.557050130422138</v>
      </c>
      <c r="BG37" s="20">
        <v>-0.49743633089263706</v>
      </c>
      <c r="BH37" s="34">
        <v>-0.45148774365896405</v>
      </c>
      <c r="BI37" s="34">
        <v>-0.41476493663422503</v>
      </c>
      <c r="BJ37" s="20">
        <v>-0.38431291806516904</v>
      </c>
      <c r="BK37" s="20">
        <v>-0.35852588949590003</v>
      </c>
      <c r="BL37" s="20">
        <v>-0.316763787530139</v>
      </c>
      <c r="BM37" s="20">
        <v>-0.28424728317714</v>
      </c>
      <c r="BN37" s="20">
        <v>-0.257667717642852</v>
      </c>
      <c r="BO37" s="20">
        <v>-0.23545028093553302</v>
      </c>
      <c r="BP37" s="20">
        <v>-0.21652521241775402</v>
      </c>
      <c r="BQ37" s="20">
        <v>-0.18548604763176202</v>
      </c>
      <c r="BR37" s="20">
        <v>-0.140621495574399</v>
      </c>
      <c r="BS37" s="20">
        <v>-0.10890877353227602</v>
      </c>
      <c r="BT37" s="20">
        <v>-0.0846265504301881</v>
      </c>
      <c r="BU37" s="20">
        <v>-0.06514819703433909</v>
      </c>
      <c r="BV37" s="20">
        <v>-0.0489540518641802</v>
      </c>
      <c r="BW37" s="20">
        <v>-0.0353020526641884</v>
      </c>
      <c r="BX37" s="20">
        <v>-0.0353020526641884</v>
      </c>
    </row>
    <row r="38" spans="7:76" ht="12.75">
      <c r="G38"/>
      <c r="H38"/>
      <c r="I38"/>
      <c r="AC38" s="10"/>
      <c r="AE38" s="10">
        <f>AE37+(AE42-AE37)/5</f>
        <v>4.24</v>
      </c>
      <c r="AF38" s="10">
        <f t="shared" si="4"/>
        <v>0.17739246131275888</v>
      </c>
      <c r="AG38" s="59">
        <f t="shared" si="5"/>
        <v>0.17739246131275888</v>
      </c>
      <c r="AH38" s="39"/>
      <c r="AQ38" s="10"/>
      <c r="AR38" s="10"/>
      <c r="AS38" s="10"/>
      <c r="AU38" s="54">
        <v>6</v>
      </c>
      <c r="AV38">
        <v>14</v>
      </c>
      <c r="AW38" s="54">
        <v>7</v>
      </c>
      <c r="AX38" s="20">
        <v>-6.78172714642855</v>
      </c>
      <c r="AY38" s="20">
        <v>-3.46986436175454</v>
      </c>
      <c r="AZ38" s="20">
        <v>-1.93498078586375</v>
      </c>
      <c r="BA38" s="20">
        <v>-1.44611697335613</v>
      </c>
      <c r="BB38" s="20">
        <v>-1.19811629287476</v>
      </c>
      <c r="BC38" s="20">
        <v>-1.04431224968649</v>
      </c>
      <c r="BD38" s="20">
        <v>-0.9372676367946061</v>
      </c>
      <c r="BE38" s="20">
        <v>-0.7953374882517811</v>
      </c>
      <c r="BF38" s="20">
        <v>-0.7027868040103581</v>
      </c>
      <c r="BG38" s="20">
        <v>-0.636294027145276</v>
      </c>
      <c r="BH38" s="34">
        <v>-0.5854611638032</v>
      </c>
      <c r="BI38" s="34">
        <v>-0.544850478820172</v>
      </c>
      <c r="BJ38" s="20">
        <v>-0.5113083016830591</v>
      </c>
      <c r="BK38" s="20">
        <v>-0.48313423850218606</v>
      </c>
      <c r="BL38" s="20">
        <v>-0.437707135543525</v>
      </c>
      <c r="BM38" s="20">
        <v>-0.402195157595707</v>
      </c>
      <c r="BN38" s="20">
        <v>-0.373454340972871</v>
      </c>
      <c r="BO38" s="20">
        <v>-0.34949820512163304</v>
      </c>
      <c r="BP38" s="20">
        <v>-0.32910504647979</v>
      </c>
      <c r="BQ38" s="20">
        <v>-0.295677859177765</v>
      </c>
      <c r="BR38" s="20">
        <v>-0.24772101453988102</v>
      </c>
      <c r="BS38" s="20">
        <v>-0.21388771628017303</v>
      </c>
      <c r="BT38" s="20">
        <v>-0.188090019579901</v>
      </c>
      <c r="BU38" s="20">
        <v>-0.16742722515382</v>
      </c>
      <c r="BV38" s="20">
        <v>-0.150334944521267</v>
      </c>
      <c r="BW38" s="20">
        <v>-0.13590442657575202</v>
      </c>
      <c r="BX38" s="20">
        <v>-0.13590442657575202</v>
      </c>
    </row>
    <row r="39" spans="7:76" ht="12.75">
      <c r="G39"/>
      <c r="H39"/>
      <c r="I39"/>
      <c r="AC39" s="10"/>
      <c r="AE39" s="10">
        <f>AE37+2*(AE42-AE37)/5</f>
        <v>6.18</v>
      </c>
      <c r="AF39" s="10">
        <f t="shared" si="4"/>
        <v>0.11674287029588189</v>
      </c>
      <c r="AG39" s="59">
        <f t="shared" si="5"/>
        <v>0.11674287029588189</v>
      </c>
      <c r="AH39" s="39"/>
      <c r="AQ39" s="10"/>
      <c r="AR39" s="10"/>
      <c r="AS39" s="10"/>
      <c r="AU39" s="54">
        <v>7</v>
      </c>
      <c r="AV39">
        <v>15</v>
      </c>
      <c r="AW39" s="54">
        <v>8</v>
      </c>
      <c r="AX39" s="20">
        <v>-7.98632030270881</v>
      </c>
      <c r="AY39" s="20">
        <v>-4.07237303755505</v>
      </c>
      <c r="AZ39" s="20">
        <v>-2.24910607961787</v>
      </c>
      <c r="BA39" s="20">
        <v>-1.67604699245708</v>
      </c>
      <c r="BB39" s="20">
        <v>-1.389872386924</v>
      </c>
      <c r="BC39" s="20">
        <v>-1.21445663004341</v>
      </c>
      <c r="BD39" s="20">
        <v>-1.09366495819491</v>
      </c>
      <c r="BE39" s="20">
        <v>-0.9347938719456881</v>
      </c>
      <c r="BF39" s="20">
        <v>-0.83223973356437</v>
      </c>
      <c r="BG39" s="20">
        <v>-0.758951849328355</v>
      </c>
      <c r="BH39" s="20">
        <v>-0.703225153259688</v>
      </c>
      <c r="BI39" s="20">
        <v>-0.6589613683224771</v>
      </c>
      <c r="BJ39" s="20">
        <v>-0.622511616623867</v>
      </c>
      <c r="BK39" s="20">
        <v>-0.591946685702019</v>
      </c>
      <c r="BL39" s="20">
        <v>-0.5427238139386741</v>
      </c>
      <c r="BM39" s="20">
        <v>-0.504594436853807</v>
      </c>
      <c r="BN39" s="20">
        <v>-0.47378999615833606</v>
      </c>
      <c r="BO39" s="20">
        <v>-0.44806230463516306</v>
      </c>
      <c r="BP39" s="20">
        <v>-0.42620041778425904</v>
      </c>
      <c r="BQ39" s="20">
        <v>-0.390725827595412</v>
      </c>
      <c r="BR39" s="20">
        <v>-0.33970383972927</v>
      </c>
      <c r="BS39" s="20">
        <v>-0.30390584000477705</v>
      </c>
      <c r="BT39" s="20">
        <v>-0.276708553522416</v>
      </c>
      <c r="BU39" s="20">
        <v>-0.25500332596144</v>
      </c>
      <c r="BV39" s="20">
        <v>-0.237096471500943</v>
      </c>
      <c r="BW39" s="20">
        <v>-0.221848749616356</v>
      </c>
      <c r="BX39" s="20">
        <v>-0.221848749616356</v>
      </c>
    </row>
    <row r="40" spans="7:76" ht="12.75">
      <c r="G40"/>
      <c r="H40"/>
      <c r="I40"/>
      <c r="AC40" s="10"/>
      <c r="AE40" s="10">
        <f>AE37+3*(AE42-AE37)/5</f>
        <v>8.12</v>
      </c>
      <c r="AF40" s="10">
        <f t="shared" si="4"/>
        <v>0.07127309996535758</v>
      </c>
      <c r="AG40" s="59">
        <f t="shared" si="5"/>
        <v>0.07127309996535758</v>
      </c>
      <c r="AH40" s="39"/>
      <c r="AQ40" s="10"/>
      <c r="AR40" s="10"/>
      <c r="AS40" s="10"/>
      <c r="AU40" s="54">
        <v>8</v>
      </c>
      <c r="AV40">
        <v>16</v>
      </c>
      <c r="AW40" s="54">
        <v>9</v>
      </c>
      <c r="AX40" s="20">
        <v>-9.19044028536473</v>
      </c>
      <c r="AY40" s="20">
        <v>-4.67468962828894</v>
      </c>
      <c r="AZ40" s="20">
        <v>-2.55791237044924</v>
      </c>
      <c r="BA40" s="20">
        <v>-1.89670952844225</v>
      </c>
      <c r="BB40" s="20">
        <v>-1.57105570996443</v>
      </c>
      <c r="BC40" s="20">
        <v>-1.37335173152599</v>
      </c>
      <c r="BD40" s="20">
        <v>-1.23837281543842</v>
      </c>
      <c r="BE40" s="20">
        <v>-1.06228155638274</v>
      </c>
      <c r="BF40" s="20">
        <v>-0.949620243738542</v>
      </c>
      <c r="BG40" s="20">
        <v>-0.8697627521147699</v>
      </c>
      <c r="BH40" s="20">
        <v>-0.8092202290719811</v>
      </c>
      <c r="BI40" s="20">
        <v>-0.761201437286083</v>
      </c>
      <c r="BJ40" s="20">
        <v>-0.721932669111337</v>
      </c>
      <c r="BK40" s="20">
        <v>-0.6889882510187111</v>
      </c>
      <c r="BL40" s="20">
        <v>-0.636294027145276</v>
      </c>
      <c r="BM40" s="20">
        <v>-0.5955083822413141</v>
      </c>
      <c r="BN40" s="20">
        <v>-0.562566556202029</v>
      </c>
      <c r="BO40" s="20">
        <v>-0.535286954242937</v>
      </c>
      <c r="BP40" s="20">
        <v>-0.512084268640233</v>
      </c>
      <c r="BQ40" s="20">
        <v>-0.47443694172993306</v>
      </c>
      <c r="BR40" s="20">
        <v>-0.42061659578606403</v>
      </c>
      <c r="BS40" s="20">
        <v>-0.38299965887910103</v>
      </c>
      <c r="BT40" s="20">
        <v>-0.354430370648848</v>
      </c>
      <c r="BU40" s="20">
        <v>-0.331707289551779</v>
      </c>
      <c r="BV40" s="20">
        <v>-0.313006433735321</v>
      </c>
      <c r="BW40" s="20">
        <v>-0.29713882942707104</v>
      </c>
      <c r="BX40" s="20">
        <v>-0.29713882942707104</v>
      </c>
    </row>
    <row r="41" spans="7:76" ht="12.75">
      <c r="G41"/>
      <c r="H41"/>
      <c r="I41"/>
      <c r="AC41" s="10"/>
      <c r="AE41" s="10">
        <f>AE37+4*(AE42-AE37)/5</f>
        <v>10.059999999999999</v>
      </c>
      <c r="AF41" s="10">
        <f t="shared" si="4"/>
        <v>0.04207478197875953</v>
      </c>
      <c r="AG41" s="59">
        <f t="shared" si="5"/>
        <v>0.04207478197875953</v>
      </c>
      <c r="AH41" s="39"/>
      <c r="AQ41" s="10"/>
      <c r="AR41" s="10"/>
      <c r="AS41" s="10"/>
      <c r="AU41" s="54">
        <v>9</v>
      </c>
      <c r="AV41">
        <v>17</v>
      </c>
      <c r="AW41" s="54">
        <v>10</v>
      </c>
      <c r="AX41" s="20">
        <v>-10.3936186348894</v>
      </c>
      <c r="AY41" s="20">
        <v>-5.27687284120431</v>
      </c>
      <c r="AZ41" s="20">
        <v>-2.86312096012448</v>
      </c>
      <c r="BA41" s="20">
        <v>-2.11125903931711</v>
      </c>
      <c r="BB41" s="20">
        <v>-1.74448628718047</v>
      </c>
      <c r="BC41" s="20">
        <v>-1.52374820399297</v>
      </c>
      <c r="BD41" s="20">
        <v>-1.37427609047424</v>
      </c>
      <c r="BE41" s="20">
        <v>-1.18078520011762</v>
      </c>
      <c r="BF41" s="20">
        <v>-1.05799194697769</v>
      </c>
      <c r="BG41" s="20">
        <v>-0.9714287473074621</v>
      </c>
      <c r="BH41" s="20">
        <v>-0.9060882589506221</v>
      </c>
      <c r="BI41" s="20">
        <v>-0.854492828590337</v>
      </c>
      <c r="BJ41" s="20">
        <v>-0.812394684581851</v>
      </c>
      <c r="BK41" s="20">
        <v>-0.77715352002585</v>
      </c>
      <c r="BL41" s="20">
        <v>-0.7209036702523991</v>
      </c>
      <c r="BM41" s="20">
        <v>-0.677491272078491</v>
      </c>
      <c r="BN41" s="20">
        <v>-0.642636969384857</v>
      </c>
      <c r="BO41" s="20">
        <v>-0.613768649420475</v>
      </c>
      <c r="BP41" s="20">
        <v>-0.58922276662279</v>
      </c>
      <c r="BQ41" s="20">
        <v>-0.549596913844634</v>
      </c>
      <c r="BR41" s="20">
        <v>-0.49308927444848205</v>
      </c>
      <c r="BS41" s="20">
        <v>-0.453580733164808</v>
      </c>
      <c r="BT41" s="20">
        <v>-0.42383148039219104</v>
      </c>
      <c r="BU41" s="20">
        <v>-0.40011692792631204</v>
      </c>
      <c r="BV41" s="20">
        <v>-0.38059358911322305</v>
      </c>
      <c r="BW41" s="20">
        <v>-0.364114314718727</v>
      </c>
      <c r="BX41" s="20">
        <v>-0.364114314718727</v>
      </c>
    </row>
    <row r="42" spans="7:76" ht="12.75">
      <c r="G42"/>
      <c r="H42"/>
      <c r="I42"/>
      <c r="AC42" s="10"/>
      <c r="AD42" s="7" t="s">
        <v>96</v>
      </c>
      <c r="AE42" s="48">
        <f>D$11</f>
        <v>12</v>
      </c>
      <c r="AF42" s="48">
        <f aca="true" t="shared" si="6" ref="AF42:AF50">SUM(AG42:AH42)</f>
        <v>0.024436659245435078</v>
      </c>
      <c r="AG42" s="53">
        <f t="shared" si="5"/>
        <v>0.024436659245435078</v>
      </c>
      <c r="AH42" s="52">
        <f aca="true" t="shared" si="7" ref="AH42:AH73">AG34</f>
        <v>0</v>
      </c>
      <c r="AQ42" s="10"/>
      <c r="AR42" s="10"/>
      <c r="AS42" s="10"/>
      <c r="AU42" s="54">
        <v>10</v>
      </c>
      <c r="AV42">
        <v>18</v>
      </c>
      <c r="AW42" s="54">
        <v>11</v>
      </c>
      <c r="AX42" s="20">
        <v>-11.5985994592185</v>
      </c>
      <c r="AY42" s="20">
        <v>-5.8784401558125</v>
      </c>
      <c r="AZ42" s="20">
        <v>-3.16653413982931</v>
      </c>
      <c r="BA42" s="20">
        <v>-2.32148162095989</v>
      </c>
      <c r="BB42" s="20">
        <v>-1.91221858219046</v>
      </c>
      <c r="BC42" s="20">
        <v>-1.66796572297248</v>
      </c>
      <c r="BD42" s="20">
        <v>-1.50348548130225</v>
      </c>
      <c r="BE42" s="20">
        <v>-1.29217443166777</v>
      </c>
      <c r="BF42" s="20">
        <v>-1.15914144595812</v>
      </c>
      <c r="BG42" s="20">
        <v>-1.06585518820752</v>
      </c>
      <c r="BH42" s="20">
        <v>-0.995764633640532</v>
      </c>
      <c r="BI42" s="20">
        <v>-0.9405880625613431</v>
      </c>
      <c r="BJ42" s="20">
        <v>-0.8956836354882721</v>
      </c>
      <c r="BK42" s="20">
        <v>-0.858111450294139</v>
      </c>
      <c r="BL42" s="20">
        <v>-0.798493632946762</v>
      </c>
      <c r="BM42" s="20">
        <v>-0.7525177393229461</v>
      </c>
      <c r="BN42" s="20">
        <v>-0.7157046517694731</v>
      </c>
      <c r="BO42" s="20">
        <v>-0.6852903070448261</v>
      </c>
      <c r="BP42" s="20">
        <v>-0.659476569210085</v>
      </c>
      <c r="BQ42" s="20">
        <v>-0.61785683211575</v>
      </c>
      <c r="BR42" s="20">
        <v>-0.5587291565795011</v>
      </c>
      <c r="BS42" s="20">
        <v>-0.517555208081735</v>
      </c>
      <c r="BT42" s="20">
        <v>-0.48651604329574305</v>
      </c>
      <c r="BU42" s="20">
        <v>-0.46192921295682804</v>
      </c>
      <c r="BV42" s="20">
        <v>-0.441711530566865</v>
      </c>
      <c r="BW42" s="20">
        <v>-0.424638933844793</v>
      </c>
      <c r="BX42" s="20">
        <v>-0.424638933844793</v>
      </c>
    </row>
    <row r="43" spans="7:76" ht="12.75">
      <c r="G43"/>
      <c r="H43"/>
      <c r="I43"/>
      <c r="AC43" s="10"/>
      <c r="AD43">
        <v>2</v>
      </c>
      <c r="AE43" s="10">
        <f aca="true" t="shared" si="8" ref="AE43:AE74">AE35+D$11</f>
        <v>12.766666666666666</v>
      </c>
      <c r="AF43" s="10">
        <f t="shared" si="6"/>
        <v>0.1640625688630561</v>
      </c>
      <c r="AG43" s="59">
        <f t="shared" si="5"/>
        <v>0.019664405543402885</v>
      </c>
      <c r="AH43" s="39">
        <f t="shared" si="7"/>
        <v>0.14439816331965322</v>
      </c>
      <c r="AQ43" s="10"/>
      <c r="AR43" s="10"/>
      <c r="AS43" s="10"/>
      <c r="AU43" s="54">
        <v>11</v>
      </c>
      <c r="AV43">
        <v>19</v>
      </c>
      <c r="AW43" s="54">
        <v>12</v>
      </c>
      <c r="AX43" s="20">
        <v>-12.8027194418744</v>
      </c>
      <c r="AY43" s="20">
        <v>-6.48082853617834</v>
      </c>
      <c r="AZ43" s="20">
        <v>-3.46903231842808</v>
      </c>
      <c r="BA43" s="20">
        <v>-2.52870828894106</v>
      </c>
      <c r="BB43" s="20">
        <v>-2.07566901529132</v>
      </c>
      <c r="BC43" s="20">
        <v>-1.80715388481116</v>
      </c>
      <c r="BD43" s="20">
        <v>-1.62745619924093</v>
      </c>
      <c r="BE43" s="20">
        <v>-1.39804859586648</v>
      </c>
      <c r="BF43" s="20">
        <v>-1.25461287867999</v>
      </c>
      <c r="BG43" s="20">
        <v>-1.15452986701833</v>
      </c>
      <c r="BH43" s="20">
        <v>-1.07961575782164</v>
      </c>
      <c r="BI43" s="20">
        <v>-1.02081596632558</v>
      </c>
      <c r="BJ43" s="20">
        <v>-0.973140014015438</v>
      </c>
      <c r="BK43" s="20">
        <v>-0.9333759490165741</v>
      </c>
      <c r="BL43" s="20">
        <v>-0.8702456771972271</v>
      </c>
      <c r="BM43" s="20">
        <v>-0.8218867476853681</v>
      </c>
      <c r="BN43" s="20">
        <v>-0.78314821671562</v>
      </c>
      <c r="BO43" s="20">
        <v>-0.751168807192038</v>
      </c>
      <c r="BP43" s="20">
        <v>-0.7241360492874791</v>
      </c>
      <c r="BQ43" s="20">
        <v>-0.6805816109522721</v>
      </c>
      <c r="BR43" s="20">
        <v>-0.618884919290149</v>
      </c>
      <c r="BS43" s="20">
        <v>-0.5760990814715831</v>
      </c>
      <c r="BT43" s="20">
        <v>-0.543861803449709</v>
      </c>
      <c r="BU43" s="20">
        <v>-0.5183710804924221</v>
      </c>
      <c r="BV43" s="20">
        <v>-0.49743633089263706</v>
      </c>
      <c r="BW43" s="20">
        <v>-0.47977856411804</v>
      </c>
      <c r="BX43" s="20">
        <v>-0.47977856411804</v>
      </c>
    </row>
    <row r="44" spans="7:76" ht="12.75">
      <c r="G44"/>
      <c r="H44"/>
      <c r="I44"/>
      <c r="AE44" s="10">
        <f t="shared" si="8"/>
        <v>13.533333333333333</v>
      </c>
      <c r="AF44" s="10">
        <f t="shared" si="6"/>
        <v>0.22106082416512024</v>
      </c>
      <c r="AG44" s="59">
        <f t="shared" si="5"/>
        <v>0.015809098713923043</v>
      </c>
      <c r="AH44" s="39">
        <f t="shared" si="7"/>
        <v>0.2052517254511972</v>
      </c>
      <c r="AU44" s="54">
        <v>12</v>
      </c>
      <c r="AV44">
        <v>20</v>
      </c>
      <c r="AW44">
        <v>12</v>
      </c>
      <c r="AX44" s="20">
        <v>-14.0065637695024</v>
      </c>
      <c r="AY44" s="20">
        <v>-7.08301995267962</v>
      </c>
      <c r="AZ44" s="20">
        <v>-3.7705741520793</v>
      </c>
      <c r="BA44" s="20">
        <v>-2.73388595046832</v>
      </c>
      <c r="BB44" s="20">
        <v>-2.23619777592541</v>
      </c>
      <c r="BC44" s="20">
        <v>-1.94252408417375</v>
      </c>
      <c r="BD44" s="20">
        <v>-1.74714696902011</v>
      </c>
      <c r="BE44" s="20">
        <v>-1.49921482708254</v>
      </c>
      <c r="BF44" s="20">
        <v>-1.34524606674707</v>
      </c>
      <c r="BG44" s="20">
        <v>-1.23837281543842</v>
      </c>
      <c r="BH44" s="20">
        <v>-1.15864052954514</v>
      </c>
      <c r="BI44" s="20">
        <v>-1.0963132682635</v>
      </c>
      <c r="BJ44" s="20">
        <v>-1.04585401117045</v>
      </c>
      <c r="BK44" s="20">
        <v>-1.00383870663199</v>
      </c>
      <c r="BL44" s="20">
        <v>-0.9373052266576061</v>
      </c>
      <c r="BM44" s="20">
        <v>-0.886491159467181</v>
      </c>
      <c r="BN44" s="20">
        <v>-0.845819567888176</v>
      </c>
      <c r="BO44" s="20">
        <v>-0.8123664900493061</v>
      </c>
      <c r="BP44" s="20">
        <v>-0.784177444845628</v>
      </c>
      <c r="BQ44" s="20">
        <v>-0.7447274948966941</v>
      </c>
      <c r="BR44" s="20">
        <v>-0.677780705266081</v>
      </c>
      <c r="BS44" s="20">
        <v>-0.638272163982407</v>
      </c>
      <c r="BT44" s="20">
        <v>-0.6020599913279621</v>
      </c>
      <c r="BU44" s="20">
        <v>-0.570376897417314</v>
      </c>
      <c r="BV44" s="20">
        <v>-0.552841968657781</v>
      </c>
      <c r="BW44" s="20">
        <v>-0.530767257493388</v>
      </c>
      <c r="BX44" s="20">
        <v>-0.530767257493388</v>
      </c>
    </row>
    <row r="45" spans="7:76" ht="12.75">
      <c r="G45"/>
      <c r="H45"/>
      <c r="I45"/>
      <c r="AD45" s="7" t="s">
        <v>76</v>
      </c>
      <c r="AE45" s="10">
        <f t="shared" si="8"/>
        <v>14.3</v>
      </c>
      <c r="AF45" s="10">
        <f t="shared" si="6"/>
        <v>0.232700363528675</v>
      </c>
      <c r="AG45" s="59">
        <f t="shared" si="5"/>
        <v>0.01270036352867502</v>
      </c>
      <c r="AH45" s="39">
        <f t="shared" si="7"/>
        <v>0.22</v>
      </c>
      <c r="AT45" s="20"/>
      <c r="AU45">
        <v>12</v>
      </c>
      <c r="AV45">
        <v>21</v>
      </c>
      <c r="AW45">
        <v>12</v>
      </c>
      <c r="AX45" s="20">
        <v>-14.0065637695024</v>
      </c>
      <c r="AY45" s="20">
        <v>-7.08301995267962</v>
      </c>
      <c r="AZ45" s="20">
        <v>-3.7705741520793</v>
      </c>
      <c r="BA45" s="20">
        <v>-2.73388595046832</v>
      </c>
      <c r="BB45" s="20">
        <v>-2.23619777592541</v>
      </c>
      <c r="BC45" s="20">
        <v>-1.94252408417375</v>
      </c>
      <c r="BD45" s="20">
        <v>-1.74714696902011</v>
      </c>
      <c r="BE45" s="20">
        <v>-1.49921482708254</v>
      </c>
      <c r="BF45" s="20">
        <v>-1.34524606674707</v>
      </c>
      <c r="BG45" s="20">
        <v>-1.23837281543842</v>
      </c>
      <c r="BH45" s="20">
        <v>-1.15864052954514</v>
      </c>
      <c r="BI45" s="20">
        <v>-1.0963132682635</v>
      </c>
      <c r="BJ45" s="20">
        <v>-1.04585401117045</v>
      </c>
      <c r="BK45" s="20">
        <v>-1.00383870663199</v>
      </c>
      <c r="BL45" s="20">
        <v>-0.9373052266576061</v>
      </c>
      <c r="BM45" s="20">
        <v>-0.886491159467181</v>
      </c>
      <c r="BN45" s="20">
        <v>-0.845819567888176</v>
      </c>
      <c r="BO45" s="20">
        <v>-0.8123664900493061</v>
      </c>
      <c r="BP45" s="20">
        <v>-0.784177444845628</v>
      </c>
      <c r="BQ45" s="20">
        <v>-0.7447274948966941</v>
      </c>
      <c r="BR45" s="20">
        <v>-0.677780705266081</v>
      </c>
      <c r="BS45" s="20">
        <v>-0.638272163982407</v>
      </c>
      <c r="BT45" s="20">
        <v>-0.6020599913279621</v>
      </c>
      <c r="BU45" s="20">
        <v>-0.570376897417314</v>
      </c>
      <c r="BV45" s="20">
        <v>-0.552841968657781</v>
      </c>
      <c r="BW45" s="20">
        <v>-0.530767257493388</v>
      </c>
      <c r="BX45" s="20">
        <v>-0.530767257493388</v>
      </c>
    </row>
    <row r="46" spans="7:46" ht="12.75">
      <c r="G46"/>
      <c r="H46"/>
      <c r="I46"/>
      <c r="AC46" s="6"/>
      <c r="AE46" s="10">
        <f t="shared" si="8"/>
        <v>16.240000000000002</v>
      </c>
      <c r="AF46" s="10">
        <f t="shared" si="6"/>
        <v>0.18467406973395092</v>
      </c>
      <c r="AG46" s="59">
        <f t="shared" si="5"/>
        <v>0.007281608421192037</v>
      </c>
      <c r="AH46" s="39">
        <f t="shared" si="7"/>
        <v>0.17739246131275888</v>
      </c>
      <c r="AQ46" s="6"/>
      <c r="AR46" s="6"/>
      <c r="AS46" s="6"/>
      <c r="AT46" s="34"/>
    </row>
    <row r="47" spans="7:46" ht="12.75">
      <c r="G47"/>
      <c r="H47"/>
      <c r="I47"/>
      <c r="AC47" s="6"/>
      <c r="AE47" s="10">
        <f t="shared" si="8"/>
        <v>18.18</v>
      </c>
      <c r="AF47" s="10">
        <f t="shared" si="6"/>
        <v>0.12090967421988097</v>
      </c>
      <c r="AG47" s="59">
        <f t="shared" si="5"/>
        <v>0.004166803923999085</v>
      </c>
      <c r="AH47" s="39">
        <f t="shared" si="7"/>
        <v>0.11674287029588189</v>
      </c>
      <c r="AQ47" s="6"/>
      <c r="AR47" s="6"/>
      <c r="AS47" s="6"/>
      <c r="AT47" s="34"/>
    </row>
    <row r="48" spans="7:46" ht="12.75">
      <c r="G48"/>
      <c r="H48"/>
      <c r="I48"/>
      <c r="AC48" s="6"/>
      <c r="AE48" s="10">
        <f t="shared" si="8"/>
        <v>20.119999999999997</v>
      </c>
      <c r="AF48" s="10">
        <f t="shared" si="6"/>
        <v>0.07365511405229566</v>
      </c>
      <c r="AG48" s="59">
        <f t="shared" si="5"/>
        <v>0.0023820140869380887</v>
      </c>
      <c r="AH48" s="39">
        <f t="shared" si="7"/>
        <v>0.07127309996535758</v>
      </c>
      <c r="AQ48" s="6"/>
      <c r="AR48" s="6"/>
      <c r="AS48" s="6"/>
      <c r="AT48" s="34"/>
    </row>
    <row r="49" spans="7:46" ht="12.75">
      <c r="G49"/>
      <c r="H49"/>
      <c r="I49"/>
      <c r="AC49" s="6"/>
      <c r="AE49" s="10">
        <f t="shared" si="8"/>
        <v>22.06</v>
      </c>
      <c r="AF49" s="10">
        <f t="shared" si="6"/>
        <v>0.04343578509652144</v>
      </c>
      <c r="AG49" s="59">
        <f t="shared" si="5"/>
        <v>0.0013610031177619085</v>
      </c>
      <c r="AH49" s="39">
        <f t="shared" si="7"/>
        <v>0.04207478197875953</v>
      </c>
      <c r="AQ49" s="6"/>
      <c r="AR49" s="6"/>
      <c r="AS49" s="6"/>
      <c r="AT49" s="34"/>
    </row>
    <row r="50" spans="7:46" ht="12.75">
      <c r="G50"/>
      <c r="H50"/>
      <c r="I50"/>
      <c r="AC50" s="6"/>
      <c r="AD50" s="7" t="s">
        <v>96</v>
      </c>
      <c r="AE50" s="95">
        <f t="shared" si="8"/>
        <v>24</v>
      </c>
      <c r="AF50" s="48">
        <f t="shared" si="6"/>
        <v>0.025214079294048383</v>
      </c>
      <c r="AG50" s="53">
        <f t="shared" si="5"/>
        <v>0.000777420048613304</v>
      </c>
      <c r="AH50" s="52">
        <f t="shared" si="7"/>
        <v>0.024436659245435078</v>
      </c>
      <c r="AI50" s="48">
        <f aca="true" t="shared" si="9" ref="AI50:AI81">AH42</f>
        <v>0</v>
      </c>
      <c r="AQ50" s="6"/>
      <c r="AR50" s="6"/>
      <c r="AS50" s="6"/>
      <c r="AT50" s="34"/>
    </row>
    <row r="51" spans="7:46" ht="12.75">
      <c r="G51"/>
      <c r="H51"/>
      <c r="I51"/>
      <c r="AC51" s="6"/>
      <c r="AD51">
        <v>3</v>
      </c>
      <c r="AE51" s="10">
        <f t="shared" si="8"/>
        <v>24.766666666666666</v>
      </c>
      <c r="AF51" s="21">
        <f aca="true" t="shared" si="10" ref="AF51:AF58">SUM(AG51:AI51)</f>
        <v>0.164685622389245</v>
      </c>
      <c r="AG51" s="59">
        <f t="shared" si="5"/>
        <v>0.0006230535261889151</v>
      </c>
      <c r="AH51" s="39">
        <f t="shared" si="7"/>
        <v>0.019664405543402885</v>
      </c>
      <c r="AI51" s="10">
        <f t="shared" si="9"/>
        <v>0.14439816331965322</v>
      </c>
      <c r="AQ51" s="6"/>
      <c r="AR51" s="6"/>
      <c r="AS51" s="6"/>
      <c r="AT51" s="34"/>
    </row>
    <row r="52" spans="7:46" ht="12.75">
      <c r="G52"/>
      <c r="H52"/>
      <c r="I52"/>
      <c r="AC52" s="6"/>
      <c r="AE52" s="10">
        <f t="shared" si="8"/>
        <v>25.53333333333333</v>
      </c>
      <c r="AF52" s="21">
        <f t="shared" si="10"/>
        <v>0.2215601542601317</v>
      </c>
      <c r="AG52" s="59">
        <f t="shared" si="5"/>
        <v>0.0004993300950114605</v>
      </c>
      <c r="AH52" s="39">
        <f t="shared" si="7"/>
        <v>0.015809098713923043</v>
      </c>
      <c r="AI52" s="10">
        <f t="shared" si="9"/>
        <v>0.2052517254511972</v>
      </c>
      <c r="AQ52" s="6"/>
      <c r="AR52" s="6"/>
      <c r="AS52" s="6"/>
      <c r="AT52" s="34"/>
    </row>
    <row r="53" spans="7:46" ht="12.75">
      <c r="G53"/>
      <c r="H53"/>
      <c r="I53"/>
      <c r="AC53" s="6"/>
      <c r="AD53" s="7" t="s">
        <v>76</v>
      </c>
      <c r="AE53" s="10">
        <f t="shared" si="8"/>
        <v>26.3</v>
      </c>
      <c r="AF53" s="21">
        <f t="shared" si="10"/>
        <v>0.2331005335277407</v>
      </c>
      <c r="AG53" s="59">
        <f t="shared" si="5"/>
        <v>0.00040016999906568226</v>
      </c>
      <c r="AH53" s="39">
        <f t="shared" si="7"/>
        <v>0.01270036352867502</v>
      </c>
      <c r="AI53" s="10">
        <f t="shared" si="9"/>
        <v>0.22</v>
      </c>
      <c r="AQ53" s="6"/>
      <c r="AR53" s="6"/>
      <c r="AS53" s="6"/>
      <c r="AT53" s="34"/>
    </row>
    <row r="54" spans="7:46" ht="12.75">
      <c r="G54"/>
      <c r="H54"/>
      <c r="I54"/>
      <c r="AC54" s="6"/>
      <c r="AE54" s="10">
        <f t="shared" si="8"/>
        <v>28.240000000000002</v>
      </c>
      <c r="AF54" s="21">
        <f t="shared" si="10"/>
        <v>0.18490259972530967</v>
      </c>
      <c r="AG54" s="59">
        <f t="shared" si="5"/>
        <v>0.00022852999135876913</v>
      </c>
      <c r="AH54" s="39">
        <f t="shared" si="7"/>
        <v>0.007281608421192037</v>
      </c>
      <c r="AI54" s="10">
        <f t="shared" si="9"/>
        <v>0.17739246131275888</v>
      </c>
      <c r="AQ54" s="6"/>
      <c r="AR54" s="6"/>
      <c r="AS54" s="6"/>
      <c r="AT54" s="34"/>
    </row>
    <row r="55" spans="7:46" ht="12.75">
      <c r="G55"/>
      <c r="H55"/>
      <c r="I55"/>
      <c r="AC55" s="6"/>
      <c r="AE55" s="10">
        <f t="shared" si="8"/>
        <v>30.18</v>
      </c>
      <c r="AF55" s="21">
        <f t="shared" si="10"/>
        <v>0.1210401791606929</v>
      </c>
      <c r="AG55" s="59">
        <f t="shared" si="5"/>
        <v>0.00013050494081192748</v>
      </c>
      <c r="AH55" s="39">
        <f t="shared" si="7"/>
        <v>0.004166803923999085</v>
      </c>
      <c r="AI55" s="10">
        <f t="shared" si="9"/>
        <v>0.11674287029588189</v>
      </c>
      <c r="AQ55" s="6"/>
      <c r="AR55" s="6"/>
      <c r="AS55" s="6"/>
      <c r="AT55" s="34"/>
    </row>
    <row r="56" spans="7:46" ht="12.75">
      <c r="G56"/>
      <c r="H56"/>
      <c r="I56"/>
      <c r="AC56" s="6"/>
      <c r="AE56" s="10">
        <f t="shared" si="8"/>
        <v>32.12</v>
      </c>
      <c r="AF56" s="21">
        <f t="shared" si="10"/>
        <v>0.07372963921050082</v>
      </c>
      <c r="AG56" s="59">
        <f t="shared" si="5"/>
        <v>7.452515820516043E-05</v>
      </c>
      <c r="AH56" s="39">
        <f t="shared" si="7"/>
        <v>0.0023820140869380887</v>
      </c>
      <c r="AI56" s="10">
        <f t="shared" si="9"/>
        <v>0.07127309996535758</v>
      </c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34"/>
    </row>
    <row r="57" spans="7:46" ht="12.75">
      <c r="G57"/>
      <c r="H57"/>
      <c r="I57"/>
      <c r="AC57" s="6"/>
      <c r="AE57" s="10">
        <f t="shared" si="8"/>
        <v>34.06</v>
      </c>
      <c r="AF57" s="21">
        <f t="shared" si="10"/>
        <v>0.043478342466887566</v>
      </c>
      <c r="AG57" s="59">
        <f t="shared" si="5"/>
        <v>4.255737036612861E-05</v>
      </c>
      <c r="AH57" s="39">
        <f t="shared" si="7"/>
        <v>0.0013610031177619085</v>
      </c>
      <c r="AI57" s="39">
        <f t="shared" si="9"/>
        <v>0.04207478197875953</v>
      </c>
      <c r="AJ57" s="59"/>
      <c r="AK57" s="6"/>
      <c r="AL57" s="6"/>
      <c r="AM57" s="6"/>
      <c r="AN57" s="6"/>
      <c r="AO57" s="6"/>
      <c r="AP57" s="6"/>
      <c r="AQ57" s="6"/>
      <c r="AR57" s="6"/>
      <c r="AS57" s="6"/>
      <c r="AT57" s="34"/>
    </row>
    <row r="58" spans="7:46" ht="12.75">
      <c r="G58"/>
      <c r="H58"/>
      <c r="I58"/>
      <c r="AC58" s="6"/>
      <c r="AD58" s="7" t="s">
        <v>96</v>
      </c>
      <c r="AE58" s="95">
        <f t="shared" si="8"/>
        <v>36</v>
      </c>
      <c r="AF58" s="48">
        <f t="shared" si="10"/>
        <v>0.02523838143494293</v>
      </c>
      <c r="AG58" s="53">
        <f t="shared" si="5"/>
        <v>2.430214089454865E-05</v>
      </c>
      <c r="AH58" s="52">
        <f t="shared" si="7"/>
        <v>0.000777420048613304</v>
      </c>
      <c r="AI58" s="52">
        <f t="shared" si="9"/>
        <v>0.024436659245435078</v>
      </c>
      <c r="AJ58" s="53">
        <f aca="true" t="shared" si="11" ref="AJ58:AJ89">AI50</f>
        <v>0</v>
      </c>
      <c r="AK58" s="6"/>
      <c r="AL58" s="6"/>
      <c r="AM58" s="6"/>
      <c r="AN58" s="6"/>
      <c r="AO58" s="6"/>
      <c r="AP58" s="6"/>
      <c r="AQ58" s="6"/>
      <c r="AR58" s="6"/>
      <c r="AS58" s="6"/>
      <c r="AT58" s="34"/>
    </row>
    <row r="59" spans="7:46" ht="12.75">
      <c r="G59"/>
      <c r="H59"/>
      <c r="I59"/>
      <c r="M59" s="39"/>
      <c r="AC59" s="6"/>
      <c r="AD59">
        <v>4</v>
      </c>
      <c r="AE59" s="10">
        <f t="shared" si="8"/>
        <v>36.766666666666666</v>
      </c>
      <c r="AF59" s="10">
        <f aca="true" t="shared" si="12" ref="AF59:AF66">SUM(AG59:AJ59)</f>
        <v>0.1647050976262433</v>
      </c>
      <c r="AG59" s="59">
        <f t="shared" si="5"/>
        <v>1.947523699829157E-05</v>
      </c>
      <c r="AH59" s="39">
        <f t="shared" si="7"/>
        <v>0.0006230535261889151</v>
      </c>
      <c r="AI59" s="39">
        <f t="shared" si="9"/>
        <v>0.019664405543402885</v>
      </c>
      <c r="AJ59" s="59">
        <f t="shared" si="11"/>
        <v>0.14439816331965322</v>
      </c>
      <c r="AK59" s="6"/>
      <c r="AL59" s="6"/>
      <c r="AM59" s="6"/>
      <c r="AN59" s="6"/>
      <c r="AO59" s="6"/>
      <c r="AP59" s="6"/>
      <c r="AQ59" s="6"/>
      <c r="AR59" s="6"/>
      <c r="AS59" s="6"/>
      <c r="AT59" s="34"/>
    </row>
    <row r="60" spans="7:46" ht="12.75">
      <c r="G60"/>
      <c r="H60"/>
      <c r="I60"/>
      <c r="K60" t="s">
        <v>97</v>
      </c>
      <c r="M60" s="39"/>
      <c r="AC60" s="6"/>
      <c r="AE60" s="10">
        <f t="shared" si="8"/>
        <v>37.53333333333333</v>
      </c>
      <c r="AF60" s="10">
        <f t="shared" si="12"/>
        <v>0.221575761310713</v>
      </c>
      <c r="AG60" s="59">
        <f t="shared" si="5"/>
        <v>1.5607050581291862E-05</v>
      </c>
      <c r="AH60" s="39">
        <f t="shared" si="7"/>
        <v>0.0004993300950114605</v>
      </c>
      <c r="AI60" s="39">
        <f t="shared" si="9"/>
        <v>0.015809098713923043</v>
      </c>
      <c r="AJ60" s="59">
        <f t="shared" si="11"/>
        <v>0.2052517254511972</v>
      </c>
      <c r="AK60" s="6"/>
      <c r="AL60" s="6"/>
      <c r="AM60" s="6"/>
      <c r="AN60" s="6"/>
      <c r="AO60" s="6"/>
      <c r="AP60" s="6"/>
      <c r="AQ60" s="6"/>
      <c r="AR60" s="6"/>
      <c r="AS60" s="6"/>
      <c r="AT60" s="34"/>
    </row>
    <row r="61" spans="7:46" ht="12.75">
      <c r="G61"/>
      <c r="H61"/>
      <c r="I61"/>
      <c r="AC61" s="96"/>
      <c r="AD61" s="7" t="s">
        <v>76</v>
      </c>
      <c r="AE61" s="10">
        <f t="shared" si="8"/>
        <v>38.3</v>
      </c>
      <c r="AF61" s="10">
        <f t="shared" si="12"/>
        <v>0.2331130406911318</v>
      </c>
      <c r="AG61" s="59">
        <f t="shared" si="5"/>
        <v>1.2507163391123725E-05</v>
      </c>
      <c r="AH61" s="39">
        <f t="shared" si="7"/>
        <v>0.00040016999906568226</v>
      </c>
      <c r="AI61" s="39">
        <f t="shared" si="9"/>
        <v>0.01270036352867502</v>
      </c>
      <c r="AJ61" s="59">
        <f t="shared" si="11"/>
        <v>0.22</v>
      </c>
      <c r="AK61" s="96"/>
      <c r="AL61" s="96"/>
      <c r="AM61" s="96"/>
      <c r="AN61" s="96"/>
      <c r="AO61" s="96"/>
      <c r="AP61" s="96"/>
      <c r="AQ61" s="96"/>
      <c r="AR61" s="96"/>
      <c r="AS61" s="96"/>
      <c r="AT61" s="34"/>
    </row>
    <row r="62" spans="3:46" ht="12.75">
      <c r="C62" s="57" t="s">
        <v>54</v>
      </c>
      <c r="D62" s="41">
        <f>C9</f>
        <v>4</v>
      </c>
      <c r="E62" s="41">
        <f>D9</f>
        <v>2.3</v>
      </c>
      <c r="G62"/>
      <c r="H62"/>
      <c r="I62"/>
      <c r="J62" s="7" t="s">
        <v>95</v>
      </c>
      <c r="K62">
        <v>0</v>
      </c>
      <c r="L62" s="10">
        <f aca="true" t="shared" si="13" ref="L62:L69">M62</f>
        <v>0</v>
      </c>
      <c r="M62" s="39">
        <v>0</v>
      </c>
      <c r="N62" s="39"/>
      <c r="W62" s="10"/>
      <c r="X62" s="10"/>
      <c r="Y62" s="10"/>
      <c r="Z62" s="10"/>
      <c r="AA62" s="10"/>
      <c r="AB62" s="10"/>
      <c r="AC62" s="96"/>
      <c r="AE62" s="10">
        <f t="shared" si="8"/>
        <v>40.24</v>
      </c>
      <c r="AF62" s="10">
        <f t="shared" si="12"/>
        <v>0.18490974183979247</v>
      </c>
      <c r="AG62" s="59">
        <f t="shared" si="5"/>
        <v>7.142114482794934E-06</v>
      </c>
      <c r="AH62" s="39">
        <f t="shared" si="7"/>
        <v>0.00022852999135876913</v>
      </c>
      <c r="AI62" s="39">
        <f t="shared" si="9"/>
        <v>0.007281608421192037</v>
      </c>
      <c r="AJ62" s="59">
        <f t="shared" si="11"/>
        <v>0.17739246131275888</v>
      </c>
      <c r="AK62" s="96"/>
      <c r="AL62" s="96"/>
      <c r="AM62" s="96"/>
      <c r="AN62" s="96"/>
      <c r="AO62" s="96"/>
      <c r="AP62" s="96"/>
      <c r="AQ62" s="96"/>
      <c r="AR62" s="96"/>
      <c r="AS62" s="96"/>
      <c r="AT62" s="34"/>
    </row>
    <row r="63" spans="3:46" ht="12.75">
      <c r="C63" s="7" t="s">
        <v>55</v>
      </c>
      <c r="D63" s="6">
        <f>C10</f>
        <v>6.8</v>
      </c>
      <c r="E63" s="6">
        <f>D10</f>
        <v>2.4</v>
      </c>
      <c r="G63"/>
      <c r="H63"/>
      <c r="I63"/>
      <c r="J63" s="7"/>
      <c r="K63" s="10">
        <f>K62+(K65-K62)/3</f>
        <v>1.3333333333333333</v>
      </c>
      <c r="L63" s="10">
        <f t="shared" si="13"/>
        <v>0.07457373474579912</v>
      </c>
      <c r="M63" s="59">
        <f aca="true" t="shared" si="14" ref="M63:M94">C$23*(EXP(-C$21*K63)-EXP(-C$22*K63))</f>
        <v>0.07457373474579912</v>
      </c>
      <c r="N63" s="39"/>
      <c r="W63" s="10"/>
      <c r="X63" s="10"/>
      <c r="Y63" s="10"/>
      <c r="Z63" s="10"/>
      <c r="AA63" s="10"/>
      <c r="AB63" s="10"/>
      <c r="AC63" s="96"/>
      <c r="AE63" s="10">
        <f t="shared" si="8"/>
        <v>42.18</v>
      </c>
      <c r="AF63" s="10">
        <f t="shared" si="12"/>
        <v>0.12104425760486708</v>
      </c>
      <c r="AG63" s="59">
        <f t="shared" si="5"/>
        <v>4.07844417418201E-06</v>
      </c>
      <c r="AH63" s="39">
        <f t="shared" si="7"/>
        <v>0.00013050494081192748</v>
      </c>
      <c r="AI63" s="39">
        <f t="shared" si="9"/>
        <v>0.004166803923999085</v>
      </c>
      <c r="AJ63" s="59">
        <f t="shared" si="11"/>
        <v>0.11674287029588189</v>
      </c>
      <c r="AK63" s="96"/>
      <c r="AL63" s="96"/>
      <c r="AM63" s="96"/>
      <c r="AN63" s="96"/>
      <c r="AO63" s="96"/>
      <c r="AP63" s="96"/>
      <c r="AQ63" s="96"/>
      <c r="AR63" s="96"/>
      <c r="AS63" s="96"/>
      <c r="AT63" s="34"/>
    </row>
    <row r="64" spans="3:46" ht="12.75">
      <c r="C64" s="57" t="s">
        <v>34</v>
      </c>
      <c r="D64" s="39">
        <f>LN(2)/D63</f>
        <v>0.10193340890587431</v>
      </c>
      <c r="E64" s="39">
        <f>LN(2)/E63</f>
        <v>0.28881132523331055</v>
      </c>
      <c r="G64"/>
      <c r="H64"/>
      <c r="I64"/>
      <c r="J64" s="7"/>
      <c r="K64" s="10">
        <f>K62+2*(K65-K62)/3</f>
        <v>2.6666666666666665</v>
      </c>
      <c r="L64" s="10">
        <f t="shared" si="13"/>
        <v>0.10343501883443776</v>
      </c>
      <c r="M64" s="59">
        <f t="shared" si="14"/>
        <v>0.10343501883443776</v>
      </c>
      <c r="N64" s="39"/>
      <c r="W64" s="10"/>
      <c r="X64" s="10"/>
      <c r="Y64" s="10"/>
      <c r="Z64" s="10"/>
      <c r="AA64" s="10"/>
      <c r="AB64" s="10"/>
      <c r="AC64" s="96"/>
      <c r="AE64" s="10">
        <f t="shared" si="8"/>
        <v>44.12</v>
      </c>
      <c r="AF64" s="10">
        <f t="shared" si="12"/>
        <v>0.07373196817085774</v>
      </c>
      <c r="AG64" s="59">
        <f t="shared" si="5"/>
        <v>2.328960356915203E-06</v>
      </c>
      <c r="AH64" s="39">
        <f t="shared" si="7"/>
        <v>7.452515820516043E-05</v>
      </c>
      <c r="AI64" s="39">
        <f t="shared" si="9"/>
        <v>0.0023820140869380887</v>
      </c>
      <c r="AJ64" s="59">
        <f t="shared" si="11"/>
        <v>0.07127309996535758</v>
      </c>
      <c r="AK64" s="96"/>
      <c r="AL64" s="96"/>
      <c r="AM64" s="96"/>
      <c r="AN64" s="96"/>
      <c r="AO64" s="96"/>
      <c r="AP64" s="96"/>
      <c r="AQ64" s="96"/>
      <c r="AR64" s="96"/>
      <c r="AS64" s="96"/>
      <c r="AT64" s="34"/>
    </row>
    <row r="65" spans="3:46" ht="12.75">
      <c r="C65" s="7" t="s">
        <v>56</v>
      </c>
      <c r="D65" s="39">
        <f>HLOOKUP(D68,$AX$26:$BX$28,3)</f>
        <v>0.11552453009332421</v>
      </c>
      <c r="E65" s="39">
        <f>HLOOKUP(E68,$AX$26:$BX$28,3)</f>
        <v>0.34657359027997264</v>
      </c>
      <c r="G65"/>
      <c r="H65"/>
      <c r="I65"/>
      <c r="J65" s="7" t="s">
        <v>76</v>
      </c>
      <c r="K65" s="10">
        <f>C9</f>
        <v>4</v>
      </c>
      <c r="L65" s="10">
        <f t="shared" si="13"/>
        <v>0.11</v>
      </c>
      <c r="M65" s="59">
        <f t="shared" si="14"/>
        <v>0.11</v>
      </c>
      <c r="N65" s="39"/>
      <c r="W65" s="10"/>
      <c r="X65" s="10"/>
      <c r="Y65" s="10"/>
      <c r="Z65" s="10"/>
      <c r="AA65" s="10"/>
      <c r="AB65" s="10"/>
      <c r="AC65" s="96"/>
      <c r="AE65" s="10">
        <f t="shared" si="8"/>
        <v>46.06</v>
      </c>
      <c r="AF65" s="10">
        <f t="shared" si="12"/>
        <v>0.04347967239938011</v>
      </c>
      <c r="AG65" s="59">
        <f t="shared" si="5"/>
        <v>1.3299324925406547E-06</v>
      </c>
      <c r="AH65" s="39">
        <f t="shared" si="7"/>
        <v>4.255737036612861E-05</v>
      </c>
      <c r="AI65" s="39">
        <f t="shared" si="9"/>
        <v>0.0013610031177619085</v>
      </c>
      <c r="AJ65" s="59">
        <f t="shared" si="11"/>
        <v>0.04207478197875953</v>
      </c>
      <c r="AK65" s="96"/>
      <c r="AL65" s="96"/>
      <c r="AM65" s="96"/>
      <c r="AN65" s="96"/>
      <c r="AO65" s="96"/>
      <c r="AP65" s="96"/>
      <c r="AQ65" s="96"/>
      <c r="AR65" s="96"/>
      <c r="AS65" s="96"/>
      <c r="AT65" s="34"/>
    </row>
    <row r="66" spans="3:46" ht="12.75">
      <c r="C66" s="7" t="s">
        <v>57</v>
      </c>
      <c r="D66" s="39">
        <f>HLOOKUP(D68+1,$AX$26:$BX$28,3)</f>
        <v>0.09902102579427789</v>
      </c>
      <c r="E66" s="39">
        <f>HLOOKUP(E68+1,$AX$26:$BX$28,3)</f>
        <v>0.2772588722239781</v>
      </c>
      <c r="G66"/>
      <c r="H66"/>
      <c r="I66"/>
      <c r="K66" s="10">
        <f>K65+(K70-K65)/5</f>
        <v>8</v>
      </c>
      <c r="L66" s="10">
        <f t="shared" si="13"/>
        <v>0.08811322962977051</v>
      </c>
      <c r="M66" s="59">
        <f t="shared" si="14"/>
        <v>0.08811322962977051</v>
      </c>
      <c r="N66" s="39"/>
      <c r="W66" s="10"/>
      <c r="X66" s="10"/>
      <c r="Y66" s="10"/>
      <c r="Z66" s="10"/>
      <c r="AA66" s="10"/>
      <c r="AB66" s="10"/>
      <c r="AC66" s="96"/>
      <c r="AD66" s="7" t="s">
        <v>96</v>
      </c>
      <c r="AE66" s="95">
        <f t="shared" si="8"/>
        <v>48</v>
      </c>
      <c r="AF66" s="48">
        <f t="shared" si="12"/>
        <v>0.025239140881222505</v>
      </c>
      <c r="AG66" s="53">
        <f t="shared" si="5"/>
        <v>7.594462795749361E-07</v>
      </c>
      <c r="AH66" s="52">
        <f t="shared" si="7"/>
        <v>2.430214089454865E-05</v>
      </c>
      <c r="AI66" s="52">
        <f t="shared" si="9"/>
        <v>0.000777420048613304</v>
      </c>
      <c r="AJ66" s="53">
        <f t="shared" si="11"/>
        <v>0.024436659245435078</v>
      </c>
      <c r="AK66" s="53">
        <f aca="true" t="shared" si="15" ref="AK66:AK97">AJ58</f>
        <v>0</v>
      </c>
      <c r="AL66" s="96"/>
      <c r="AM66" s="96"/>
      <c r="AN66" s="96"/>
      <c r="AO66" s="96"/>
      <c r="AP66" s="96"/>
      <c r="AQ66" s="96"/>
      <c r="AR66" s="96"/>
      <c r="AS66" s="96"/>
      <c r="AT66" s="34"/>
    </row>
    <row r="67" spans="3:46" ht="12.75">
      <c r="C67" s="58" t="s">
        <v>58</v>
      </c>
      <c r="D67" s="10">
        <f>VLOOKUP(D62,$AU$29:$AV$44,2)</f>
        <v>12</v>
      </c>
      <c r="E67" s="10">
        <f>VLOOKUP(E62,$AU$29:$AV$44,2)</f>
        <v>10</v>
      </c>
      <c r="G67"/>
      <c r="H67"/>
      <c r="I67"/>
      <c r="K67" s="10">
        <f>K65+2*(K70-K65)/5</f>
        <v>12</v>
      </c>
      <c r="L67" s="10">
        <f t="shared" si="13"/>
        <v>0.060639817765234694</v>
      </c>
      <c r="M67" s="59">
        <f t="shared" si="14"/>
        <v>0.060639817765234694</v>
      </c>
      <c r="N67" s="39"/>
      <c r="W67" s="10"/>
      <c r="X67" s="10"/>
      <c r="Y67" s="10"/>
      <c r="Z67" s="10"/>
      <c r="AA67" s="10"/>
      <c r="AB67" s="10"/>
      <c r="AC67" s="96"/>
      <c r="AD67">
        <v>5</v>
      </c>
      <c r="AE67" s="10">
        <f t="shared" si="8"/>
        <v>48.766666666666666</v>
      </c>
      <c r="AF67" s="10">
        <f aca="true" t="shared" si="16" ref="AF67:AF74">SUM(AG67:AK67)</f>
        <v>0.16470570623011324</v>
      </c>
      <c r="AG67" s="59">
        <f aca="true" t="shared" si="17" ref="AG67:AG98">D$23*(EXP(-D$21*AE67)-EXP(-D$22*AE67))</f>
        <v>6.086038699222391E-07</v>
      </c>
      <c r="AH67" s="39">
        <f t="shared" si="7"/>
        <v>1.947523699829157E-05</v>
      </c>
      <c r="AI67" s="39">
        <f t="shared" si="9"/>
        <v>0.0006230535261889151</v>
      </c>
      <c r="AJ67" s="59">
        <f t="shared" si="11"/>
        <v>0.019664405543402885</v>
      </c>
      <c r="AK67" s="59">
        <f t="shared" si="15"/>
        <v>0.14439816331965322</v>
      </c>
      <c r="AL67" s="96"/>
      <c r="AM67" s="96"/>
      <c r="AN67" s="96"/>
      <c r="AO67" s="96"/>
      <c r="AP67" s="96"/>
      <c r="AQ67" s="96"/>
      <c r="AR67" s="96"/>
      <c r="AS67" s="96"/>
      <c r="AT67" s="34"/>
    </row>
    <row r="68" spans="3:46" ht="12.75">
      <c r="C68" s="7" t="s">
        <v>59</v>
      </c>
      <c r="D68" s="10">
        <f>HLOOKUP(D63,$AX$25:$BW$26,2)</f>
        <v>13</v>
      </c>
      <c r="E68" s="10">
        <f>HLOOKUP(E63,$AX$25:$BW$26,2)</f>
        <v>8</v>
      </c>
      <c r="G68"/>
      <c r="H68"/>
      <c r="I68"/>
      <c r="K68" s="10">
        <f>K65+3*(K70-K65)/5</f>
        <v>16</v>
      </c>
      <c r="L68" s="10">
        <f t="shared" si="13"/>
        <v>0.04061086812389523</v>
      </c>
      <c r="M68" s="59">
        <f t="shared" si="14"/>
        <v>0.04061086812389523</v>
      </c>
      <c r="N68" s="39"/>
      <c r="W68" s="10"/>
      <c r="X68" s="10"/>
      <c r="Y68" s="10"/>
      <c r="Z68" s="10"/>
      <c r="AA68" s="10"/>
      <c r="AB68" s="10"/>
      <c r="AC68" s="96"/>
      <c r="AE68" s="10">
        <f t="shared" si="8"/>
        <v>49.53333333333333</v>
      </c>
      <c r="AF68" s="10">
        <f t="shared" si="16"/>
        <v>0.2215762490327263</v>
      </c>
      <c r="AG68" s="59">
        <f t="shared" si="17"/>
        <v>4.877220133123202E-07</v>
      </c>
      <c r="AH68" s="39">
        <f t="shared" si="7"/>
        <v>1.5607050581291862E-05</v>
      </c>
      <c r="AI68" s="39">
        <f t="shared" si="9"/>
        <v>0.0004993300950114605</v>
      </c>
      <c r="AJ68" s="59">
        <f t="shared" si="11"/>
        <v>0.015809098713923043</v>
      </c>
      <c r="AK68" s="59">
        <f t="shared" si="15"/>
        <v>0.2052517254511972</v>
      </c>
      <c r="AL68" s="96"/>
      <c r="AM68" s="96"/>
      <c r="AN68" s="96"/>
      <c r="AO68" s="96"/>
      <c r="AP68" s="96"/>
      <c r="AQ68" s="96"/>
      <c r="AR68" s="96"/>
      <c r="AS68" s="96"/>
      <c r="AT68" s="34"/>
    </row>
    <row r="69" spans="3:46" ht="12.75">
      <c r="C69" s="58" t="s">
        <v>60</v>
      </c>
      <c r="D69" s="59">
        <f>HLOOKUP(D63,$AV$25:$BW$44,D67)</f>
        <v>-0.335264031481295</v>
      </c>
      <c r="E69" s="59">
        <f>HLOOKUP(E63,$AV$25:$BW$44,E67)</f>
        <v>-0.159172772425614</v>
      </c>
      <c r="G69"/>
      <c r="H69"/>
      <c r="I69"/>
      <c r="K69" s="10">
        <f>K65+4*(K70-K65)/5</f>
        <v>20</v>
      </c>
      <c r="L69" s="10">
        <f t="shared" si="13"/>
        <v>0.027050054999920834</v>
      </c>
      <c r="M69" s="59">
        <f t="shared" si="14"/>
        <v>0.027050054999920834</v>
      </c>
      <c r="N69" s="39"/>
      <c r="W69" s="10"/>
      <c r="X69" s="10"/>
      <c r="Y69" s="10"/>
      <c r="Z69" s="10"/>
      <c r="AA69" s="10"/>
      <c r="AB69" s="10"/>
      <c r="AC69" s="96"/>
      <c r="AD69" s="7" t="s">
        <v>76</v>
      </c>
      <c r="AE69" s="10">
        <f t="shared" si="8"/>
        <v>50.3</v>
      </c>
      <c r="AF69" s="10">
        <f t="shared" si="16"/>
        <v>0.23311343154103112</v>
      </c>
      <c r="AG69" s="59">
        <f t="shared" si="17"/>
        <v>3.9084989929870954E-07</v>
      </c>
      <c r="AH69" s="39">
        <f t="shared" si="7"/>
        <v>1.2507163391123725E-05</v>
      </c>
      <c r="AI69" s="39">
        <f t="shared" si="9"/>
        <v>0.00040016999906568226</v>
      </c>
      <c r="AJ69" s="59">
        <f t="shared" si="11"/>
        <v>0.01270036352867502</v>
      </c>
      <c r="AK69" s="59">
        <f t="shared" si="15"/>
        <v>0.22</v>
      </c>
      <c r="AL69" s="96"/>
      <c r="AM69" s="96"/>
      <c r="AN69" s="96"/>
      <c r="AO69" s="96"/>
      <c r="AP69" s="96"/>
      <c r="AQ69" s="96"/>
      <c r="AR69" s="96"/>
      <c r="AS69" s="96"/>
      <c r="AT69" s="34"/>
    </row>
    <row r="70" spans="3:46" ht="12.75">
      <c r="C70" s="58" t="s">
        <v>61</v>
      </c>
      <c r="D70" s="35">
        <f>VLOOKUP(D62,$AU$29:$BX$45,D68+1)</f>
        <v>-0.294452719813228</v>
      </c>
      <c r="E70" s="35">
        <f>VLOOKUP(E62,$AU$29:$BX$45,E68+1)</f>
        <v>-0.08695478716117269</v>
      </c>
      <c r="G70"/>
      <c r="H70"/>
      <c r="I70"/>
      <c r="J70" s="7" t="s">
        <v>96</v>
      </c>
      <c r="K70" s="48">
        <f>C$11</f>
        <v>24</v>
      </c>
      <c r="L70" s="48">
        <f aca="true" t="shared" si="18" ref="L70:L78">SUM(M70:N70)</f>
        <v>0.017997601227659227</v>
      </c>
      <c r="M70" s="53">
        <f t="shared" si="14"/>
        <v>0.017997601227659227</v>
      </c>
      <c r="N70" s="52">
        <f aca="true" t="shared" si="19" ref="N70:N101">M62</f>
        <v>0</v>
      </c>
      <c r="W70" s="10"/>
      <c r="X70" s="10"/>
      <c r="Y70" s="10"/>
      <c r="Z70" s="10"/>
      <c r="AA70" s="10"/>
      <c r="AB70" s="10"/>
      <c r="AC70" s="96"/>
      <c r="AE70" s="10">
        <f t="shared" si="8"/>
        <v>52.24</v>
      </c>
      <c r="AF70" s="10">
        <f t="shared" si="16"/>
        <v>0.18490996503118134</v>
      </c>
      <c r="AG70" s="59">
        <f t="shared" si="17"/>
        <v>2.2319138888101782E-07</v>
      </c>
      <c r="AH70" s="39">
        <f t="shared" si="7"/>
        <v>7.142114482794934E-06</v>
      </c>
      <c r="AI70" s="39">
        <f t="shared" si="9"/>
        <v>0.00022852999135876913</v>
      </c>
      <c r="AJ70" s="59">
        <f t="shared" si="11"/>
        <v>0.007281608421192037</v>
      </c>
      <c r="AK70" s="59">
        <f t="shared" si="15"/>
        <v>0.17739246131275888</v>
      </c>
      <c r="AL70" s="96"/>
      <c r="AM70" s="96"/>
      <c r="AN70" s="96"/>
      <c r="AO70" s="96"/>
      <c r="AP70" s="96"/>
      <c r="AQ70" s="96"/>
      <c r="AR70" s="96"/>
      <c r="AS70" s="96"/>
      <c r="AT70" s="34"/>
    </row>
    <row r="71" spans="3:46" ht="12.75">
      <c r="C71" s="58" t="s">
        <v>62</v>
      </c>
      <c r="D71" s="59">
        <f>HLOOKUP(D63,$AV$25:$BX$45,D67+1)</f>
        <v>-0.49743633089263706</v>
      </c>
      <c r="E71" s="59">
        <f>HLOOKUP(E63,$AV$25:$BX$45,E67+1)</f>
        <v>-0.49425327693553506</v>
      </c>
      <c r="G71"/>
      <c r="H71"/>
      <c r="I71"/>
      <c r="J71">
        <v>2</v>
      </c>
      <c r="K71" s="10">
        <f aca="true" t="shared" si="20" ref="K71:K102">K63+C$11</f>
        <v>25.333333333333332</v>
      </c>
      <c r="L71" s="10">
        <f t="shared" si="18"/>
        <v>0.09028467245685483</v>
      </c>
      <c r="M71" s="59">
        <f t="shared" si="14"/>
        <v>0.01571093771105571</v>
      </c>
      <c r="N71" s="39">
        <f t="shared" si="19"/>
        <v>0.07457373474579912</v>
      </c>
      <c r="W71" s="10"/>
      <c r="X71" s="10"/>
      <c r="Y71" s="10"/>
      <c r="Z71" s="10"/>
      <c r="AA71" s="10"/>
      <c r="AB71" s="10"/>
      <c r="AE71" s="10">
        <f t="shared" si="8"/>
        <v>54.18</v>
      </c>
      <c r="AF71" s="10">
        <f t="shared" si="16"/>
        <v>0.12104438505634041</v>
      </c>
      <c r="AG71" s="59">
        <f t="shared" si="17"/>
        <v>1.2745147332282884E-07</v>
      </c>
      <c r="AH71" s="39">
        <f t="shared" si="7"/>
        <v>4.07844417418201E-06</v>
      </c>
      <c r="AI71" s="39">
        <f t="shared" si="9"/>
        <v>0.00013050494081192748</v>
      </c>
      <c r="AJ71" s="59">
        <f t="shared" si="11"/>
        <v>0.004166803923999085</v>
      </c>
      <c r="AK71" s="59">
        <f t="shared" si="15"/>
        <v>0.11674287029588189</v>
      </c>
      <c r="AT71" s="39"/>
    </row>
    <row r="72" spans="3:46" ht="12.75">
      <c r="C72" s="58" t="s">
        <v>63</v>
      </c>
      <c r="D72" s="59">
        <f>HLOOKUP(D68+1,$AX$26:$BX$45,D67)</f>
        <v>-0.45148774365896405</v>
      </c>
      <c r="E72" s="59">
        <f>HLOOKUP(E68+1,$AX$26:$BX$45,E67)</f>
        <v>-0.40175680834637706</v>
      </c>
      <c r="G72"/>
      <c r="H72"/>
      <c r="I72"/>
      <c r="K72" s="10">
        <f t="shared" si="20"/>
        <v>26.666666666666668</v>
      </c>
      <c r="L72" s="10">
        <f t="shared" si="18"/>
        <v>0.11714965391887461</v>
      </c>
      <c r="M72" s="59">
        <f t="shared" si="14"/>
        <v>0.013714635084436853</v>
      </c>
      <c r="N72" s="39">
        <f t="shared" si="19"/>
        <v>0.10343501883443776</v>
      </c>
      <c r="AE72" s="10">
        <f t="shared" si="8"/>
        <v>56.12</v>
      </c>
      <c r="AF72" s="10">
        <f t="shared" si="16"/>
        <v>0.07373204095089661</v>
      </c>
      <c r="AG72" s="59">
        <f t="shared" si="17"/>
        <v>7.278003886578424E-08</v>
      </c>
      <c r="AH72" s="39">
        <f t="shared" si="7"/>
        <v>2.328960356915203E-06</v>
      </c>
      <c r="AI72" s="39">
        <f t="shared" si="9"/>
        <v>7.452515820516043E-05</v>
      </c>
      <c r="AJ72" s="59">
        <f t="shared" si="11"/>
        <v>0.0023820140869380887</v>
      </c>
      <c r="AK72" s="59">
        <f t="shared" si="15"/>
        <v>0.07127309996535758</v>
      </c>
      <c r="AT72" s="39"/>
    </row>
    <row r="73" spans="3:46" ht="12.75">
      <c r="C73" t="s">
        <v>64</v>
      </c>
      <c r="D73" s="39">
        <f aca="true" t="shared" si="21" ref="D73:E75">LOG(D64,10)</f>
        <v>-0.9916834516610978</v>
      </c>
      <c r="E73" s="39">
        <f t="shared" si="21"/>
        <v>-0.5393857806664676</v>
      </c>
      <c r="G73"/>
      <c r="H73"/>
      <c r="I73"/>
      <c r="J73" s="7" t="s">
        <v>76</v>
      </c>
      <c r="K73" s="10">
        <f t="shared" si="20"/>
        <v>28</v>
      </c>
      <c r="L73" s="10">
        <f t="shared" si="18"/>
        <v>0.12197190511239206</v>
      </c>
      <c r="M73" s="59">
        <f t="shared" si="14"/>
        <v>0.011971905112392059</v>
      </c>
      <c r="N73" s="39">
        <f t="shared" si="19"/>
        <v>0.11</v>
      </c>
      <c r="AE73" s="10">
        <f t="shared" si="8"/>
        <v>58.06</v>
      </c>
      <c r="AF73" s="10">
        <f t="shared" si="16"/>
        <v>0.04347971395977877</v>
      </c>
      <c r="AG73" s="59">
        <f t="shared" si="17"/>
        <v>4.156039866028606E-08</v>
      </c>
      <c r="AH73" s="39">
        <f t="shared" si="7"/>
        <v>1.3299324925406547E-06</v>
      </c>
      <c r="AI73" s="39">
        <f t="shared" si="9"/>
        <v>4.255737036612861E-05</v>
      </c>
      <c r="AJ73" s="59">
        <f t="shared" si="11"/>
        <v>0.0013610031177619085</v>
      </c>
      <c r="AK73" s="59">
        <f t="shared" si="15"/>
        <v>0.04207478197875953</v>
      </c>
      <c r="AT73" s="39"/>
    </row>
    <row r="74" spans="3:46" ht="12.75">
      <c r="C74" t="s">
        <v>65</v>
      </c>
      <c r="D74" s="20">
        <f t="shared" si="21"/>
        <v>-0.9373257893385052</v>
      </c>
      <c r="E74" s="20">
        <f t="shared" si="21"/>
        <v>-0.4602045346188427</v>
      </c>
      <c r="G74"/>
      <c r="H74"/>
      <c r="I74"/>
      <c r="K74" s="10">
        <f t="shared" si="20"/>
        <v>32</v>
      </c>
      <c r="L74" s="10">
        <f t="shared" si="18"/>
        <v>0.09607650853932974</v>
      </c>
      <c r="M74" s="59">
        <f t="shared" si="14"/>
        <v>0.007963278909559229</v>
      </c>
      <c r="N74" s="39">
        <f t="shared" si="19"/>
        <v>0.08811322962977051</v>
      </c>
      <c r="W74" s="6"/>
      <c r="X74" s="6"/>
      <c r="Y74" s="6"/>
      <c r="Z74" s="6"/>
      <c r="AA74" s="6"/>
      <c r="AB74" s="6"/>
      <c r="AD74" s="7" t="s">
        <v>96</v>
      </c>
      <c r="AE74" s="95">
        <f t="shared" si="8"/>
        <v>60</v>
      </c>
      <c r="AF74" s="48">
        <f t="shared" si="16"/>
        <v>0.02523916461392121</v>
      </c>
      <c r="AG74" s="53">
        <f t="shared" si="17"/>
        <v>2.373269870372848E-08</v>
      </c>
      <c r="AH74" s="52">
        <f aca="true" t="shared" si="22" ref="AH74:AH105">AG66</f>
        <v>7.594462795749361E-07</v>
      </c>
      <c r="AI74" s="52">
        <f t="shared" si="9"/>
        <v>2.430214089454865E-05</v>
      </c>
      <c r="AJ74" s="53">
        <f t="shared" si="11"/>
        <v>0.000777420048613304</v>
      </c>
      <c r="AK74" s="53">
        <f t="shared" si="15"/>
        <v>0.024436659245435078</v>
      </c>
      <c r="AL74" s="52">
        <f aca="true" t="shared" si="23" ref="AL74:AL105">AK66</f>
        <v>0</v>
      </c>
      <c r="AT74" s="39"/>
    </row>
    <row r="75" spans="3:80" ht="12.75">
      <c r="C75" t="s">
        <v>66</v>
      </c>
      <c r="D75" s="10">
        <f t="shared" si="21"/>
        <v>-1.0042725789691185</v>
      </c>
      <c r="E75" s="10">
        <f t="shared" si="21"/>
        <v>-0.5571145476268992</v>
      </c>
      <c r="G75"/>
      <c r="H75"/>
      <c r="I75"/>
      <c r="K75" s="10">
        <f t="shared" si="20"/>
        <v>36</v>
      </c>
      <c r="L75" s="10">
        <f t="shared" si="18"/>
        <v>0.06593665352143091</v>
      </c>
      <c r="M75" s="59">
        <f t="shared" si="14"/>
        <v>0.005296835756196211</v>
      </c>
      <c r="N75" s="39">
        <f t="shared" si="19"/>
        <v>0.060639817765234694</v>
      </c>
      <c r="W75" s="6"/>
      <c r="X75" s="6"/>
      <c r="Y75" s="6"/>
      <c r="Z75" s="6"/>
      <c r="AA75" s="6"/>
      <c r="AB75" s="6"/>
      <c r="AD75">
        <v>6</v>
      </c>
      <c r="AE75" s="10">
        <f aca="true" t="shared" si="24" ref="AE75:AE106">AE67+D$11</f>
        <v>60.766666666666666</v>
      </c>
      <c r="AF75" s="10">
        <f aca="true" t="shared" si="25" ref="AF75:AF82">SUM(AG75:AL75)</f>
        <v>0.1647057252489857</v>
      </c>
      <c r="AG75" s="59">
        <f t="shared" si="17"/>
        <v>1.901887246474184E-08</v>
      </c>
      <c r="AH75" s="39">
        <f t="shared" si="22"/>
        <v>6.086038699222391E-07</v>
      </c>
      <c r="AI75" s="39">
        <f t="shared" si="9"/>
        <v>1.947523699829157E-05</v>
      </c>
      <c r="AJ75" s="59">
        <f t="shared" si="11"/>
        <v>0.0006230535261889151</v>
      </c>
      <c r="AK75" s="59">
        <f t="shared" si="15"/>
        <v>0.019664405543402885</v>
      </c>
      <c r="AL75" s="39">
        <f t="shared" si="23"/>
        <v>0.14439816331965322</v>
      </c>
      <c r="AT75" s="39"/>
      <c r="CB75" s="10"/>
    </row>
    <row r="76" spans="3:80" ht="12.75">
      <c r="C76" s="60" t="s">
        <v>67</v>
      </c>
      <c r="D76" s="60">
        <f>(D69-D70)/(D74-D75)</f>
        <v>-0.6096081961995217</v>
      </c>
      <c r="E76" s="60">
        <f>(E69-E70)/(E74-E75)</f>
        <v>-0.7452066409116835</v>
      </c>
      <c r="G76"/>
      <c r="H76"/>
      <c r="I76"/>
      <c r="K76" s="10">
        <f t="shared" si="20"/>
        <v>40</v>
      </c>
      <c r="L76" s="10">
        <f t="shared" si="18"/>
        <v>0.04413409209848038</v>
      </c>
      <c r="M76" s="59">
        <f t="shared" si="14"/>
        <v>0.003523223974585155</v>
      </c>
      <c r="N76" s="39">
        <f t="shared" si="19"/>
        <v>0.04061086812389523</v>
      </c>
      <c r="W76" s="6"/>
      <c r="X76" s="6"/>
      <c r="Y76" s="6"/>
      <c r="Z76" s="6"/>
      <c r="AA76" s="6"/>
      <c r="AB76" s="6"/>
      <c r="AE76" s="10">
        <f t="shared" si="24"/>
        <v>61.53333333333333</v>
      </c>
      <c r="AF76" s="10">
        <f t="shared" si="25"/>
        <v>0.22157626427404015</v>
      </c>
      <c r="AG76" s="59">
        <f t="shared" si="17"/>
        <v>1.524131386448385E-08</v>
      </c>
      <c r="AH76" s="39">
        <f t="shared" si="22"/>
        <v>4.877220133123202E-07</v>
      </c>
      <c r="AI76" s="39">
        <f t="shared" si="9"/>
        <v>1.5607050581291862E-05</v>
      </c>
      <c r="AJ76" s="59">
        <f t="shared" si="11"/>
        <v>0.0004993300950114605</v>
      </c>
      <c r="AK76" s="59">
        <f t="shared" si="15"/>
        <v>0.015809098713923043</v>
      </c>
      <c r="AL76" s="39">
        <f t="shared" si="23"/>
        <v>0.2052517254511972</v>
      </c>
      <c r="AT76" s="39"/>
      <c r="CB76" s="10"/>
    </row>
    <row r="77" spans="3:80" ht="12.75">
      <c r="C77" s="60" t="s">
        <v>68</v>
      </c>
      <c r="D77" s="60">
        <f>(D71-D72)/(D74-D75)</f>
        <v>-0.6863448940150781</v>
      </c>
      <c r="E77" s="60">
        <f>(E71-E72)/(E74-E75)</f>
        <v>-0.954457292059887</v>
      </c>
      <c r="G77"/>
      <c r="H77"/>
      <c r="I77"/>
      <c r="K77" s="10">
        <f t="shared" si="20"/>
        <v>44</v>
      </c>
      <c r="L77" s="10">
        <f t="shared" si="18"/>
        <v>0.029393548904386294</v>
      </c>
      <c r="M77" s="59">
        <f t="shared" si="14"/>
        <v>0.002343493904465461</v>
      </c>
      <c r="N77" s="39">
        <f t="shared" si="19"/>
        <v>0.027050054999920834</v>
      </c>
      <c r="W77" s="6"/>
      <c r="X77" s="6"/>
      <c r="Y77" s="6"/>
      <c r="Z77" s="6"/>
      <c r="AA77" s="6"/>
      <c r="AB77" s="6"/>
      <c r="AD77" s="7" t="s">
        <v>76</v>
      </c>
      <c r="AE77" s="10">
        <f t="shared" si="24"/>
        <v>62.3</v>
      </c>
      <c r="AF77" s="10">
        <f t="shared" si="25"/>
        <v>0.23311344375509108</v>
      </c>
      <c r="AG77" s="59">
        <f t="shared" si="17"/>
        <v>1.2214059941186362E-08</v>
      </c>
      <c r="AH77" s="39">
        <f t="shared" si="22"/>
        <v>3.9084989929870954E-07</v>
      </c>
      <c r="AI77" s="39">
        <f t="shared" si="9"/>
        <v>1.2507163391123725E-05</v>
      </c>
      <c r="AJ77" s="59">
        <f t="shared" si="11"/>
        <v>0.00040016999906568226</v>
      </c>
      <c r="AK77" s="59">
        <f t="shared" si="15"/>
        <v>0.01270036352867502</v>
      </c>
      <c r="AL77" s="39">
        <f t="shared" si="23"/>
        <v>0.22</v>
      </c>
      <c r="AT77" s="39"/>
      <c r="CB77" s="10"/>
    </row>
    <row r="78" spans="3:80" ht="12.75">
      <c r="C78" s="60" t="s">
        <v>69</v>
      </c>
      <c r="D78" s="20">
        <f>VLOOKUP(D62,$AU$29:$AV$44,1)</f>
        <v>4</v>
      </c>
      <c r="E78" s="20">
        <f>VLOOKUP(E62,$AU$29:$AV$44,1)</f>
        <v>2</v>
      </c>
      <c r="G78"/>
      <c r="H78"/>
      <c r="I78"/>
      <c r="J78" s="7" t="s">
        <v>96</v>
      </c>
      <c r="K78" s="48">
        <f t="shared" si="20"/>
        <v>48</v>
      </c>
      <c r="L78" s="48">
        <f t="shared" si="18"/>
        <v>0.01955639035942436</v>
      </c>
      <c r="M78" s="53">
        <f t="shared" si="14"/>
        <v>0.001558789131765134</v>
      </c>
      <c r="N78" s="52">
        <f t="shared" si="19"/>
        <v>0.017997601227659227</v>
      </c>
      <c r="O78" s="48">
        <f aca="true" t="shared" si="26" ref="O78:O109">N70</f>
        <v>0</v>
      </c>
      <c r="W78" s="6"/>
      <c r="X78" s="6"/>
      <c r="Y78" s="6"/>
      <c r="Z78" s="6"/>
      <c r="AA78" s="6"/>
      <c r="AB78" s="6"/>
      <c r="AE78" s="10">
        <f t="shared" si="24"/>
        <v>64.24000000000001</v>
      </c>
      <c r="AF78" s="10">
        <f t="shared" si="25"/>
        <v>0.18490997200591244</v>
      </c>
      <c r="AG78" s="59">
        <f t="shared" si="17"/>
        <v>6.97473107800171E-09</v>
      </c>
      <c r="AH78" s="39">
        <f t="shared" si="22"/>
        <v>2.2319138888101782E-07</v>
      </c>
      <c r="AI78" s="39">
        <f t="shared" si="9"/>
        <v>7.142114482794934E-06</v>
      </c>
      <c r="AJ78" s="59">
        <f t="shared" si="11"/>
        <v>0.00022852999135876913</v>
      </c>
      <c r="AK78" s="59">
        <f t="shared" si="15"/>
        <v>0.007281608421192037</v>
      </c>
      <c r="AL78" s="39">
        <f t="shared" si="23"/>
        <v>0.17739246131275888</v>
      </c>
      <c r="AT78" s="39"/>
      <c r="CB78" s="10"/>
    </row>
    <row r="79" spans="3:80" ht="12.75">
      <c r="C79" t="s">
        <v>70</v>
      </c>
      <c r="D79" s="20">
        <f>VLOOKUP(D62,$AU$29:$AW$44,3)</f>
        <v>5</v>
      </c>
      <c r="E79" s="20">
        <f>VLOOKUP(E62,$AU$29:$AW$44,3)</f>
        <v>3</v>
      </c>
      <c r="G79"/>
      <c r="H79"/>
      <c r="I79"/>
      <c r="J79">
        <v>3</v>
      </c>
      <c r="K79" s="10">
        <f t="shared" si="20"/>
        <v>49.33333333333333</v>
      </c>
      <c r="L79" s="21">
        <f aca="true" t="shared" si="27" ref="L79:L86">SUM(M79:O79)</f>
        <v>0.09164537087757069</v>
      </c>
      <c r="M79" s="59">
        <f t="shared" si="14"/>
        <v>0.0013606984207158567</v>
      </c>
      <c r="N79" s="39">
        <f t="shared" si="19"/>
        <v>0.01571093771105571</v>
      </c>
      <c r="O79" s="10">
        <f t="shared" si="26"/>
        <v>0.07457373474579912</v>
      </c>
      <c r="W79" s="6"/>
      <c r="X79" s="6"/>
      <c r="Y79" s="6"/>
      <c r="Z79" s="6"/>
      <c r="AA79" s="6"/>
      <c r="AB79" s="6"/>
      <c r="AE79" s="10">
        <f t="shared" si="24"/>
        <v>66.18</v>
      </c>
      <c r="AF79" s="10">
        <f t="shared" si="25"/>
        <v>0.121044389039199</v>
      </c>
      <c r="AG79" s="59">
        <f t="shared" si="17"/>
        <v>3.9828585936927474E-09</v>
      </c>
      <c r="AH79" s="39">
        <f t="shared" si="22"/>
        <v>1.2745147332282884E-07</v>
      </c>
      <c r="AI79" s="39">
        <f t="shared" si="9"/>
        <v>4.07844417418201E-06</v>
      </c>
      <c r="AJ79" s="59">
        <f t="shared" si="11"/>
        <v>0.00013050494081192748</v>
      </c>
      <c r="AK79" s="59">
        <f t="shared" si="15"/>
        <v>0.004166803923999085</v>
      </c>
      <c r="AL79" s="39">
        <f t="shared" si="23"/>
        <v>0.11674287029588189</v>
      </c>
      <c r="AT79" s="39"/>
      <c r="CB79" s="10"/>
    </row>
    <row r="80" spans="3:80" ht="12.75">
      <c r="C80" t="s">
        <v>71</v>
      </c>
      <c r="D80" s="41">
        <f>(D77-D76)/(D79-D78)</f>
        <v>-0.07673669781555648</v>
      </c>
      <c r="E80" s="41">
        <f>(E77-E76)/(E79-E78)</f>
        <v>-0.20925065114820351</v>
      </c>
      <c r="G80"/>
      <c r="H80"/>
      <c r="I80"/>
      <c r="K80" s="10">
        <f t="shared" si="20"/>
        <v>50.66666666666667</v>
      </c>
      <c r="L80" s="21">
        <f t="shared" si="27"/>
        <v>0.1183374349681244</v>
      </c>
      <c r="M80" s="59">
        <f t="shared" si="14"/>
        <v>0.0011877810492497997</v>
      </c>
      <c r="N80" s="39">
        <f t="shared" si="19"/>
        <v>0.013714635084436853</v>
      </c>
      <c r="O80" s="10">
        <f t="shared" si="26"/>
        <v>0.10343501883443776</v>
      </c>
      <c r="W80" s="6"/>
      <c r="X80" s="6"/>
      <c r="Y80" s="6"/>
      <c r="Z80" s="6"/>
      <c r="AA80" s="6"/>
      <c r="AB80" s="6"/>
      <c r="AE80" s="10">
        <f t="shared" si="24"/>
        <v>68.12</v>
      </c>
      <c r="AF80" s="10">
        <f t="shared" si="25"/>
        <v>0.07373204322527284</v>
      </c>
      <c r="AG80" s="59">
        <f t="shared" si="17"/>
        <v>2.2743762301765457E-09</v>
      </c>
      <c r="AH80" s="39">
        <f t="shared" si="22"/>
        <v>7.278003886578424E-08</v>
      </c>
      <c r="AI80" s="39">
        <f t="shared" si="9"/>
        <v>2.328960356915203E-06</v>
      </c>
      <c r="AJ80" s="59">
        <f t="shared" si="11"/>
        <v>7.452515820516043E-05</v>
      </c>
      <c r="AK80" s="59">
        <f t="shared" si="15"/>
        <v>0.0023820140869380887</v>
      </c>
      <c r="AL80" s="39">
        <f t="shared" si="23"/>
        <v>0.07127309996535758</v>
      </c>
      <c r="AT80" s="39"/>
      <c r="CB80" s="10"/>
    </row>
    <row r="81" spans="3:81" ht="12.75">
      <c r="C81" t="s">
        <v>72</v>
      </c>
      <c r="D81" s="41">
        <f>D76+((D62-D78)*D80)</f>
        <v>-0.6096081961995217</v>
      </c>
      <c r="E81" s="41">
        <f>E76+((E62-E78)*E80)</f>
        <v>-0.8079818362561446</v>
      </c>
      <c r="G81"/>
      <c r="H81"/>
      <c r="I81"/>
      <c r="J81" s="7" t="s">
        <v>76</v>
      </c>
      <c r="K81" s="10">
        <f t="shared" si="20"/>
        <v>52</v>
      </c>
      <c r="L81" s="21">
        <f t="shared" si="27"/>
        <v>0.12300874310583489</v>
      </c>
      <c r="M81" s="59">
        <f t="shared" si="14"/>
        <v>0.0010368379934428218</v>
      </c>
      <c r="N81" s="39">
        <f t="shared" si="19"/>
        <v>0.011971905112392059</v>
      </c>
      <c r="O81" s="10">
        <f t="shared" si="26"/>
        <v>0.11</v>
      </c>
      <c r="W81" s="6"/>
      <c r="X81" s="6"/>
      <c r="Y81" s="6"/>
      <c r="Z81" s="6"/>
      <c r="AA81" s="6"/>
      <c r="AB81" s="6"/>
      <c r="AE81" s="10">
        <f t="shared" si="24"/>
        <v>70.06</v>
      </c>
      <c r="AF81" s="10">
        <f t="shared" si="25"/>
        <v>0.04347971525854123</v>
      </c>
      <c r="AG81" s="59">
        <f t="shared" si="17"/>
        <v>1.2987624627946648E-09</v>
      </c>
      <c r="AH81" s="39">
        <f t="shared" si="22"/>
        <v>4.156039866028606E-08</v>
      </c>
      <c r="AI81" s="39">
        <f t="shared" si="9"/>
        <v>1.3299324925406547E-06</v>
      </c>
      <c r="AJ81" s="59">
        <f t="shared" si="11"/>
        <v>4.255737036612861E-05</v>
      </c>
      <c r="AK81" s="59">
        <f t="shared" si="15"/>
        <v>0.0013610031177619085</v>
      </c>
      <c r="AL81" s="39">
        <f t="shared" si="23"/>
        <v>0.04207478197875953</v>
      </c>
      <c r="AT81" s="39"/>
      <c r="CB81" s="10"/>
      <c r="CC81" s="10"/>
    </row>
    <row r="82" spans="3:81" ht="12.75">
      <c r="C82" t="s">
        <v>73</v>
      </c>
      <c r="D82" s="10">
        <f>(D72-D70)/(D79-D78)</f>
        <v>-0.15703502384573603</v>
      </c>
      <c r="E82" s="10">
        <f>(E72-E70)/(E79-E78)</f>
        <v>-0.3148020211852044</v>
      </c>
      <c r="G82"/>
      <c r="H82"/>
      <c r="I82"/>
      <c r="K82" s="10">
        <f t="shared" si="20"/>
        <v>56</v>
      </c>
      <c r="L82" s="21">
        <f t="shared" si="27"/>
        <v>0.09676616758245896</v>
      </c>
      <c r="M82" s="59">
        <f t="shared" si="14"/>
        <v>0.0006896590431292147</v>
      </c>
      <c r="N82" s="39">
        <f t="shared" si="19"/>
        <v>0.007963278909559229</v>
      </c>
      <c r="O82" s="10">
        <f t="shared" si="26"/>
        <v>0.08811322962977051</v>
      </c>
      <c r="W82" s="6"/>
      <c r="X82" s="6"/>
      <c r="Y82" s="6"/>
      <c r="Z82" s="6"/>
      <c r="AA82" s="6"/>
      <c r="AB82" s="6"/>
      <c r="AD82" s="7" t="s">
        <v>96</v>
      </c>
      <c r="AE82" s="95">
        <f t="shared" si="24"/>
        <v>72</v>
      </c>
      <c r="AF82" s="48">
        <f t="shared" si="25"/>
        <v>0.025239165355568045</v>
      </c>
      <c r="AG82" s="53">
        <f t="shared" si="17"/>
        <v>7.416468358821203E-10</v>
      </c>
      <c r="AH82" s="52">
        <f t="shared" si="22"/>
        <v>2.373269870372848E-08</v>
      </c>
      <c r="AI82" s="52">
        <f aca="true" t="shared" si="28" ref="AI82:AI113">AH74</f>
        <v>7.594462795749361E-07</v>
      </c>
      <c r="AJ82" s="53">
        <f t="shared" si="11"/>
        <v>2.430214089454865E-05</v>
      </c>
      <c r="AK82" s="53">
        <f t="shared" si="15"/>
        <v>0.000777420048613304</v>
      </c>
      <c r="AL82" s="52">
        <f t="shared" si="23"/>
        <v>0.024436659245435078</v>
      </c>
      <c r="AM82" s="52">
        <f aca="true" t="shared" si="29" ref="AM82:AM113">AL74</f>
        <v>0</v>
      </c>
      <c r="AT82" s="39"/>
      <c r="CB82" s="10"/>
      <c r="CC82" s="10"/>
    </row>
    <row r="83" spans="3:81" ht="12.75">
      <c r="C83" s="60" t="s">
        <v>74</v>
      </c>
      <c r="D83" s="39">
        <f>D70+(D82*(D62-D78))+(D81*(D73-D75))</f>
        <v>-0.30212715500319665</v>
      </c>
      <c r="E83" s="39">
        <f>E70+(E82*(E62-E78))+(E81*(E73-E75))</f>
        <v>-0.19571991519998072</v>
      </c>
      <c r="G83"/>
      <c r="H83"/>
      <c r="I83"/>
      <c r="K83" s="10">
        <f t="shared" si="20"/>
        <v>60</v>
      </c>
      <c r="L83" s="21">
        <f t="shared" si="27"/>
        <v>0.06639538439207139</v>
      </c>
      <c r="M83" s="59">
        <f t="shared" si="14"/>
        <v>0.00045873087064048947</v>
      </c>
      <c r="N83" s="39">
        <f t="shared" si="19"/>
        <v>0.005296835756196211</v>
      </c>
      <c r="O83" s="10">
        <f t="shared" si="26"/>
        <v>0.060639817765234694</v>
      </c>
      <c r="W83" s="6"/>
      <c r="X83" s="6"/>
      <c r="Y83" s="6"/>
      <c r="Z83" s="6"/>
      <c r="AA83" s="6"/>
      <c r="AB83" s="6"/>
      <c r="AD83">
        <v>7</v>
      </c>
      <c r="AE83" s="10">
        <f t="shared" si="24"/>
        <v>72.76666666666667</v>
      </c>
      <c r="AF83" s="10">
        <f aca="true" t="shared" si="30" ref="AF83:AF90">SUM(AG83:AM83)</f>
        <v>0.16470572584332546</v>
      </c>
      <c r="AG83" s="59">
        <f t="shared" si="17"/>
        <v>5.943397653854281E-10</v>
      </c>
      <c r="AH83" s="39">
        <f t="shared" si="22"/>
        <v>1.901887246474184E-08</v>
      </c>
      <c r="AI83" s="39">
        <f t="shared" si="28"/>
        <v>6.086038699222391E-07</v>
      </c>
      <c r="AJ83" s="59">
        <f t="shared" si="11"/>
        <v>1.947523699829157E-05</v>
      </c>
      <c r="AK83" s="59">
        <f t="shared" si="15"/>
        <v>0.0006230535261889151</v>
      </c>
      <c r="AL83" s="39">
        <f t="shared" si="23"/>
        <v>0.019664405543402885</v>
      </c>
      <c r="AM83" s="39">
        <f t="shared" si="29"/>
        <v>0.14439816331965322</v>
      </c>
      <c r="AT83" s="39"/>
      <c r="CB83" s="10"/>
      <c r="CC83" s="10"/>
    </row>
    <row r="84" spans="3:81" ht="12.75">
      <c r="C84" s="61"/>
      <c r="D84" s="62"/>
      <c r="G84"/>
      <c r="H84"/>
      <c r="I84"/>
      <c r="K84" s="10">
        <f t="shared" si="20"/>
        <v>64</v>
      </c>
      <c r="L84" s="21">
        <f t="shared" si="27"/>
        <v>0.04443921970283169</v>
      </c>
      <c r="M84" s="59">
        <f t="shared" si="14"/>
        <v>0.0003051276043513076</v>
      </c>
      <c r="N84" s="39">
        <f t="shared" si="19"/>
        <v>0.003523223974585155</v>
      </c>
      <c r="O84" s="10">
        <f t="shared" si="26"/>
        <v>0.04061086812389523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E84" s="10">
        <f t="shared" si="24"/>
        <v>73.53333333333333</v>
      </c>
      <c r="AF84" s="10">
        <f t="shared" si="30"/>
        <v>0.2215762647503312</v>
      </c>
      <c r="AG84" s="59">
        <f t="shared" si="17"/>
        <v>4.762910587997546E-10</v>
      </c>
      <c r="AH84" s="39">
        <f t="shared" si="22"/>
        <v>1.524131386448385E-08</v>
      </c>
      <c r="AI84" s="39">
        <f t="shared" si="28"/>
        <v>4.877220133123202E-07</v>
      </c>
      <c r="AJ84" s="59">
        <f t="shared" si="11"/>
        <v>1.5607050581291862E-05</v>
      </c>
      <c r="AK84" s="59">
        <f t="shared" si="15"/>
        <v>0.0004993300950114605</v>
      </c>
      <c r="AL84" s="39">
        <f t="shared" si="23"/>
        <v>0.015809098713923043</v>
      </c>
      <c r="AM84" s="39">
        <f t="shared" si="29"/>
        <v>0.2052517254511972</v>
      </c>
      <c r="AT84" s="39"/>
      <c r="CB84" s="10"/>
      <c r="CC84" s="10"/>
    </row>
    <row r="85" spans="2:81" ht="12.75">
      <c r="B85" s="63"/>
      <c r="C85" s="64" t="s">
        <v>75</v>
      </c>
      <c r="D85" s="64" t="s">
        <v>76</v>
      </c>
      <c r="E85" s="63"/>
      <c r="F85" s="64" t="s">
        <v>75</v>
      </c>
      <c r="G85" s="65" t="s">
        <v>76</v>
      </c>
      <c r="H85"/>
      <c r="I85"/>
      <c r="K85" s="10">
        <f t="shared" si="20"/>
        <v>68</v>
      </c>
      <c r="L85" s="21">
        <f t="shared" si="27"/>
        <v>0.029596506370066604</v>
      </c>
      <c r="M85" s="59">
        <f t="shared" si="14"/>
        <v>0.00020295746568030947</v>
      </c>
      <c r="N85" s="39">
        <f t="shared" si="19"/>
        <v>0.002343493904465461</v>
      </c>
      <c r="O85" s="39">
        <f t="shared" si="26"/>
        <v>0.027050054999920834</v>
      </c>
      <c r="P85" s="59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D85" s="7" t="s">
        <v>76</v>
      </c>
      <c r="AE85" s="10">
        <f t="shared" si="24"/>
        <v>74.3</v>
      </c>
      <c r="AF85" s="10">
        <f t="shared" si="30"/>
        <v>0.23311344413678045</v>
      </c>
      <c r="AG85" s="59">
        <f t="shared" si="17"/>
        <v>3.816893734935739E-10</v>
      </c>
      <c r="AH85" s="39">
        <f t="shared" si="22"/>
        <v>1.2214059941186362E-08</v>
      </c>
      <c r="AI85" s="39">
        <f t="shared" si="28"/>
        <v>3.9084989929870954E-07</v>
      </c>
      <c r="AJ85" s="59">
        <f t="shared" si="11"/>
        <v>1.2507163391123725E-05</v>
      </c>
      <c r="AK85" s="59">
        <f t="shared" si="15"/>
        <v>0.00040016999906568226</v>
      </c>
      <c r="AL85" s="39">
        <f t="shared" si="23"/>
        <v>0.01270036352867502</v>
      </c>
      <c r="AM85" s="39">
        <f t="shared" si="29"/>
        <v>0.22</v>
      </c>
      <c r="AT85" s="39"/>
      <c r="CB85" s="10"/>
      <c r="CC85" s="10"/>
    </row>
    <row r="86" spans="2:81" ht="12.75">
      <c r="B86" s="66">
        <f aca="true" t="shared" si="31" ref="B86:B91">D86/D$62</f>
        <v>1.000341423171073</v>
      </c>
      <c r="C86" s="41">
        <f>10^D83</f>
        <v>0.4987384428390569</v>
      </c>
      <c r="D86" s="41">
        <f aca="true" t="shared" si="32" ref="D86:D91">1/(C86-D$64)*LN(C86/D$64)</f>
        <v>4.001365692684292</v>
      </c>
      <c r="E86" s="66">
        <f aca="true" t="shared" si="33" ref="E86:E91">G86/E$62</f>
        <v>0.9875346096109955</v>
      </c>
      <c r="F86" s="41">
        <f>10^E83</f>
        <v>0.6372063349494511</v>
      </c>
      <c r="G86" s="67">
        <f aca="true" t="shared" si="34" ref="G86:G91">1/(F86-E$64)*LN(F86/E$64)</f>
        <v>2.2713296021052893</v>
      </c>
      <c r="H86"/>
      <c r="I86"/>
      <c r="J86" s="7" t="s">
        <v>96</v>
      </c>
      <c r="K86" s="48">
        <f t="shared" si="20"/>
        <v>72</v>
      </c>
      <c r="L86" s="48">
        <f t="shared" si="27"/>
        <v>0.019691388741372485</v>
      </c>
      <c r="M86" s="53">
        <f t="shared" si="14"/>
        <v>0.00013499838194812528</v>
      </c>
      <c r="N86" s="52">
        <f t="shared" si="19"/>
        <v>0.001558789131765134</v>
      </c>
      <c r="O86" s="52">
        <f t="shared" si="26"/>
        <v>0.017997601227659227</v>
      </c>
      <c r="P86" s="53">
        <f aca="true" t="shared" si="35" ref="P86:P117">O78</f>
        <v>0</v>
      </c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E86" s="10">
        <f t="shared" si="24"/>
        <v>76.24000000000001</v>
      </c>
      <c r="AF86" s="10">
        <f t="shared" si="30"/>
        <v>0.1849099722238728</v>
      </c>
      <c r="AG86" s="59">
        <f t="shared" si="17"/>
        <v>2.179603462864618E-10</v>
      </c>
      <c r="AH86" s="39">
        <f t="shared" si="22"/>
        <v>6.97473107800171E-09</v>
      </c>
      <c r="AI86" s="39">
        <f t="shared" si="28"/>
        <v>2.2319138888101782E-07</v>
      </c>
      <c r="AJ86" s="59">
        <f t="shared" si="11"/>
        <v>7.142114482794934E-06</v>
      </c>
      <c r="AK86" s="59">
        <f t="shared" si="15"/>
        <v>0.00022852999135876913</v>
      </c>
      <c r="AL86" s="39">
        <f t="shared" si="23"/>
        <v>0.007281608421192037</v>
      </c>
      <c r="AM86" s="39">
        <f t="shared" si="29"/>
        <v>0.17739246131275888</v>
      </c>
      <c r="AT86" s="39"/>
      <c r="CB86" s="10"/>
      <c r="CC86" s="10"/>
    </row>
    <row r="87" spans="2:82" ht="12.75">
      <c r="B87" s="66">
        <f t="shared" si="31"/>
        <v>1.0001273096720904</v>
      </c>
      <c r="C87" s="41">
        <f>C86*B86</f>
        <v>0.498908723699747</v>
      </c>
      <c r="D87" s="41">
        <f t="shared" si="32"/>
        <v>4.000509238688362</v>
      </c>
      <c r="E87" s="66">
        <f t="shared" si="33"/>
        <v>0.9945553204420335</v>
      </c>
      <c r="F87" s="41">
        <f>F86*E86</f>
        <v>0.6292633092259594</v>
      </c>
      <c r="G87" s="67">
        <f t="shared" si="34"/>
        <v>2.287477237016677</v>
      </c>
      <c r="H87"/>
      <c r="I87"/>
      <c r="J87">
        <v>4</v>
      </c>
      <c r="K87" s="10">
        <f t="shared" si="20"/>
        <v>73.33333333333333</v>
      </c>
      <c r="L87" s="10">
        <f aca="true" t="shared" si="36" ref="L87:L94">SUM(M87:P87)</f>
        <v>0.09176321368322936</v>
      </c>
      <c r="M87" s="59">
        <f t="shared" si="14"/>
        <v>0.00011784280565867294</v>
      </c>
      <c r="N87" s="39">
        <f t="shared" si="19"/>
        <v>0.0013606984207158567</v>
      </c>
      <c r="O87" s="39">
        <f t="shared" si="26"/>
        <v>0.01571093771105571</v>
      </c>
      <c r="P87" s="59">
        <f t="shared" si="35"/>
        <v>0.07457373474579912</v>
      </c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E87" s="10">
        <f t="shared" si="24"/>
        <v>78.18</v>
      </c>
      <c r="AF87" s="10">
        <f t="shared" si="30"/>
        <v>0.12104438916366334</v>
      </c>
      <c r="AG87" s="59">
        <f t="shared" si="17"/>
        <v>1.244643310824096E-10</v>
      </c>
      <c r="AH87" s="39">
        <f t="shared" si="22"/>
        <v>3.9828585936927474E-09</v>
      </c>
      <c r="AI87" s="39">
        <f t="shared" si="28"/>
        <v>1.2745147332282884E-07</v>
      </c>
      <c r="AJ87" s="59">
        <f t="shared" si="11"/>
        <v>4.07844417418201E-06</v>
      </c>
      <c r="AK87" s="59">
        <f t="shared" si="15"/>
        <v>0.00013050494081192748</v>
      </c>
      <c r="AL87" s="39">
        <f t="shared" si="23"/>
        <v>0.004166803923999085</v>
      </c>
      <c r="AM87" s="39">
        <f t="shared" si="29"/>
        <v>0.11674287029588189</v>
      </c>
      <c r="AT87" s="39"/>
      <c r="CB87" s="10"/>
      <c r="CC87" s="10"/>
      <c r="CD87" s="10"/>
    </row>
    <row r="88" spans="2:82" ht="12.75">
      <c r="B88" s="66">
        <f t="shared" si="31"/>
        <v>1.000047472141023</v>
      </c>
      <c r="C88" s="41">
        <f>C87*B87</f>
        <v>0.49897223960576426</v>
      </c>
      <c r="D88" s="41">
        <f t="shared" si="32"/>
        <v>4.000189888564092</v>
      </c>
      <c r="E88" s="66">
        <f t="shared" si="33"/>
        <v>0.9976226309564883</v>
      </c>
      <c r="F88" s="41">
        <f>F87*E87</f>
        <v>0.6258371721496385</v>
      </c>
      <c r="G88" s="67">
        <f t="shared" si="34"/>
        <v>2.2945320511999228</v>
      </c>
      <c r="H88"/>
      <c r="I88"/>
      <c r="K88" s="10">
        <f t="shared" si="20"/>
        <v>74.66666666666667</v>
      </c>
      <c r="L88" s="10">
        <f t="shared" si="36"/>
        <v>0.1184403023258298</v>
      </c>
      <c r="M88" s="59">
        <f t="shared" si="14"/>
        <v>0.00010286735770539124</v>
      </c>
      <c r="N88" s="39">
        <f t="shared" si="19"/>
        <v>0.0011877810492497997</v>
      </c>
      <c r="O88" s="39">
        <f t="shared" si="26"/>
        <v>0.013714635084436853</v>
      </c>
      <c r="P88" s="59">
        <f t="shared" si="35"/>
        <v>0.10343501883443776</v>
      </c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0"/>
      <c r="AE88" s="10">
        <f t="shared" si="24"/>
        <v>80.12</v>
      </c>
      <c r="AF88" s="10">
        <f t="shared" si="30"/>
        <v>0.0737320432963471</v>
      </c>
      <c r="AG88" s="59">
        <f t="shared" si="17"/>
        <v>7.107425720182229E-11</v>
      </c>
      <c r="AH88" s="39">
        <f t="shared" si="22"/>
        <v>2.2743762301765457E-09</v>
      </c>
      <c r="AI88" s="39">
        <f t="shared" si="28"/>
        <v>7.278003886578424E-08</v>
      </c>
      <c r="AJ88" s="59">
        <f t="shared" si="11"/>
        <v>2.328960356915203E-06</v>
      </c>
      <c r="AK88" s="59">
        <f t="shared" si="15"/>
        <v>7.452515820516043E-05</v>
      </c>
      <c r="AL88" s="39">
        <f t="shared" si="23"/>
        <v>0.0023820140869380887</v>
      </c>
      <c r="AM88" s="39">
        <f t="shared" si="29"/>
        <v>0.07127309996535758</v>
      </c>
      <c r="AN88" s="10"/>
      <c r="AO88" s="10"/>
      <c r="AP88" s="10"/>
      <c r="AQ88" s="10"/>
      <c r="AR88" s="10"/>
      <c r="AS88" s="10"/>
      <c r="AT88" s="39"/>
      <c r="CB88" s="10"/>
      <c r="CC88" s="10"/>
      <c r="CD88" s="10"/>
    </row>
    <row r="89" spans="2:82" ht="12.75">
      <c r="B89" s="66">
        <f t="shared" si="31"/>
        <v>1.0000177018884515</v>
      </c>
      <c r="C89" s="41">
        <f>C88*B88</f>
        <v>0.4989959268862894</v>
      </c>
      <c r="D89" s="41">
        <f t="shared" si="32"/>
        <v>4.000070807553806</v>
      </c>
      <c r="E89" s="66">
        <f t="shared" si="33"/>
        <v>0.9989620900444498</v>
      </c>
      <c r="F89" s="41">
        <f>F88*E88</f>
        <v>0.624349326230291</v>
      </c>
      <c r="G89" s="67">
        <f t="shared" si="34"/>
        <v>2.2976128071022344</v>
      </c>
      <c r="H89"/>
      <c r="I89"/>
      <c r="J89" s="7" t="s">
        <v>76</v>
      </c>
      <c r="K89" s="10">
        <f t="shared" si="20"/>
        <v>76</v>
      </c>
      <c r="L89" s="10">
        <f t="shared" si="36"/>
        <v>0.12309853809350632</v>
      </c>
      <c r="M89" s="59">
        <f t="shared" si="14"/>
        <v>8.979498767144078E-05</v>
      </c>
      <c r="N89" s="39">
        <f t="shared" si="19"/>
        <v>0.0010368379934428218</v>
      </c>
      <c r="O89" s="39">
        <f t="shared" si="26"/>
        <v>0.011971905112392059</v>
      </c>
      <c r="P89" s="59">
        <f t="shared" si="35"/>
        <v>0.11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10"/>
      <c r="AE89" s="10">
        <f t="shared" si="24"/>
        <v>82.06</v>
      </c>
      <c r="AF89" s="10">
        <f t="shared" si="30"/>
        <v>0.04347971529912756</v>
      </c>
      <c r="AG89" s="59">
        <f t="shared" si="17"/>
        <v>4.058632696496048E-11</v>
      </c>
      <c r="AH89" s="39">
        <f t="shared" si="22"/>
        <v>1.2987624627946648E-09</v>
      </c>
      <c r="AI89" s="39">
        <f t="shared" si="28"/>
        <v>4.156039866028606E-08</v>
      </c>
      <c r="AJ89" s="59">
        <f t="shared" si="11"/>
        <v>1.3299324925406547E-06</v>
      </c>
      <c r="AK89" s="59">
        <f t="shared" si="15"/>
        <v>4.255737036612861E-05</v>
      </c>
      <c r="AL89" s="39">
        <f t="shared" si="23"/>
        <v>0.0013610031177619085</v>
      </c>
      <c r="AM89" s="39">
        <f t="shared" si="29"/>
        <v>0.04207478197875953</v>
      </c>
      <c r="AN89" s="10"/>
      <c r="AO89" s="10"/>
      <c r="AP89" s="10"/>
      <c r="AQ89" s="10"/>
      <c r="AR89" s="10"/>
      <c r="AS89" s="10"/>
      <c r="AT89" s="39"/>
      <c r="CB89" s="10"/>
      <c r="CC89" s="10"/>
      <c r="CD89" s="10"/>
    </row>
    <row r="90" spans="2:82" ht="12.75">
      <c r="B90" s="66">
        <f t="shared" si="31"/>
        <v>1.000006600876901</v>
      </c>
      <c r="C90" s="41">
        <f>C89*B89</f>
        <v>0.4990047600565249</v>
      </c>
      <c r="D90" s="41">
        <f t="shared" si="32"/>
        <v>4.000026403507604</v>
      </c>
      <c r="E90" s="66">
        <f t="shared" si="33"/>
        <v>0.9995468977733081</v>
      </c>
      <c r="F90" s="41">
        <f>F89*E89</f>
        <v>0.6237013078488556</v>
      </c>
      <c r="G90" s="67">
        <f t="shared" si="34"/>
        <v>2.2989578648786084</v>
      </c>
      <c r="H90"/>
      <c r="I90"/>
      <c r="K90" s="10">
        <f t="shared" si="20"/>
        <v>80</v>
      </c>
      <c r="L90" s="10">
        <f t="shared" si="36"/>
        <v>0.09682589525989149</v>
      </c>
      <c r="M90" s="59">
        <f t="shared" si="14"/>
        <v>5.9727677432538457E-05</v>
      </c>
      <c r="N90" s="39">
        <f t="shared" si="19"/>
        <v>0.0006896590431292147</v>
      </c>
      <c r="O90" s="39">
        <f t="shared" si="26"/>
        <v>0.007963278909559229</v>
      </c>
      <c r="P90" s="59">
        <f t="shared" si="35"/>
        <v>0.08811322962977051</v>
      </c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10"/>
      <c r="AD90" s="7" t="s">
        <v>96</v>
      </c>
      <c r="AE90" s="95">
        <f t="shared" si="24"/>
        <v>84</v>
      </c>
      <c r="AF90" s="48">
        <f t="shared" si="30"/>
        <v>0.02523916537874451</v>
      </c>
      <c r="AG90" s="53">
        <f t="shared" si="17"/>
        <v>2.317646362210006E-11</v>
      </c>
      <c r="AH90" s="52">
        <f t="shared" si="22"/>
        <v>7.416468358821203E-10</v>
      </c>
      <c r="AI90" s="52">
        <f t="shared" si="28"/>
        <v>2.373269870372848E-08</v>
      </c>
      <c r="AJ90" s="53">
        <f aca="true" t="shared" si="37" ref="AJ90:AJ121">AI82</f>
        <v>7.594462795749361E-07</v>
      </c>
      <c r="AK90" s="53">
        <f t="shared" si="15"/>
        <v>2.430214089454865E-05</v>
      </c>
      <c r="AL90" s="52">
        <f t="shared" si="23"/>
        <v>0.000777420048613304</v>
      </c>
      <c r="AM90" s="52">
        <f t="shared" si="29"/>
        <v>0.024436659245435078</v>
      </c>
      <c r="AN90" s="52">
        <f aca="true" t="shared" si="38" ref="AN90:AN130">AM82</f>
        <v>0</v>
      </c>
      <c r="AO90" s="10"/>
      <c r="AP90" s="10"/>
      <c r="AQ90" s="10"/>
      <c r="AR90" s="10"/>
      <c r="AS90" s="10"/>
      <c r="AT90" s="39"/>
      <c r="CB90" s="10"/>
      <c r="CC90" s="10"/>
      <c r="CD90" s="10"/>
    </row>
    <row r="91" spans="2:82" ht="12.75">
      <c r="B91" s="68">
        <f t="shared" si="31"/>
        <v>1.0000024614109886</v>
      </c>
      <c r="C91" s="69">
        <f>C90*B90</f>
        <v>0.49900805392551906</v>
      </c>
      <c r="D91" s="69">
        <f t="shared" si="32"/>
        <v>4.000009845643954</v>
      </c>
      <c r="E91" s="68">
        <f t="shared" si="33"/>
        <v>0.9998022023381058</v>
      </c>
      <c r="F91" s="69">
        <f>F90*E90</f>
        <v>0.6234187073974786</v>
      </c>
      <c r="G91" s="70">
        <f t="shared" si="34"/>
        <v>2.299545065377643</v>
      </c>
      <c r="H91"/>
      <c r="I91"/>
      <c r="K91" s="10">
        <f t="shared" si="20"/>
        <v>84</v>
      </c>
      <c r="L91" s="10">
        <f t="shared" si="36"/>
        <v>0.06643511261681972</v>
      </c>
      <c r="M91" s="59">
        <f t="shared" si="14"/>
        <v>3.972822474833738E-05</v>
      </c>
      <c r="N91" s="39">
        <f t="shared" si="19"/>
        <v>0.00045873087064048947</v>
      </c>
      <c r="O91" s="39">
        <f t="shared" si="26"/>
        <v>0.005296835756196211</v>
      </c>
      <c r="P91" s="59">
        <f t="shared" si="35"/>
        <v>0.060639817765234694</v>
      </c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10"/>
      <c r="AD91">
        <v>8</v>
      </c>
      <c r="AE91" s="10">
        <f t="shared" si="24"/>
        <v>84.76666666666667</v>
      </c>
      <c r="AF91" s="10">
        <f aca="true" t="shared" si="39" ref="AF91:AF98">SUM(AG91:AN91)</f>
        <v>0.16470572586189858</v>
      </c>
      <c r="AG91" s="59">
        <f t="shared" si="17"/>
        <v>1.8573117668780682E-11</v>
      </c>
      <c r="AH91" s="39">
        <f t="shared" si="22"/>
        <v>5.943397653854281E-10</v>
      </c>
      <c r="AI91" s="39">
        <f t="shared" si="28"/>
        <v>1.901887246474184E-08</v>
      </c>
      <c r="AJ91" s="59">
        <f t="shared" si="37"/>
        <v>6.086038699222391E-07</v>
      </c>
      <c r="AK91" s="59">
        <f t="shared" si="15"/>
        <v>1.947523699829157E-05</v>
      </c>
      <c r="AL91" s="39">
        <f t="shared" si="23"/>
        <v>0.0006230535261889151</v>
      </c>
      <c r="AM91" s="39">
        <f t="shared" si="29"/>
        <v>0.019664405543402885</v>
      </c>
      <c r="AN91" s="39">
        <f t="shared" si="38"/>
        <v>0.14439816331965322</v>
      </c>
      <c r="AO91" s="10"/>
      <c r="AP91" s="10"/>
      <c r="AQ91" s="10"/>
      <c r="AR91" s="10"/>
      <c r="AS91" s="10"/>
      <c r="AT91" s="39"/>
      <c r="CB91" s="10"/>
      <c r="CC91" s="10"/>
      <c r="CD91" s="10"/>
    </row>
    <row r="92" spans="3:82" ht="12.75">
      <c r="C92" s="10"/>
      <c r="D92" s="10"/>
      <c r="G92" s="59"/>
      <c r="H92"/>
      <c r="I92"/>
      <c r="K92" s="10">
        <f t="shared" si="20"/>
        <v>88</v>
      </c>
      <c r="L92" s="10">
        <f t="shared" si="36"/>
        <v>0.04446564517104845</v>
      </c>
      <c r="M92" s="59">
        <f t="shared" si="14"/>
        <v>2.6425468216759206E-05</v>
      </c>
      <c r="N92" s="39">
        <f t="shared" si="19"/>
        <v>0.0003051276043513076</v>
      </c>
      <c r="O92" s="39">
        <f t="shared" si="26"/>
        <v>0.003523223974585155</v>
      </c>
      <c r="P92" s="59">
        <f t="shared" si="35"/>
        <v>0.04061086812389523</v>
      </c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10"/>
      <c r="AE92" s="10">
        <f t="shared" si="24"/>
        <v>85.53333333333333</v>
      </c>
      <c r="AF92" s="10">
        <f t="shared" si="39"/>
        <v>0.2215762647652153</v>
      </c>
      <c r="AG92" s="59">
        <f t="shared" si="17"/>
        <v>1.4884095587793716E-11</v>
      </c>
      <c r="AH92" s="39">
        <f t="shared" si="22"/>
        <v>4.762910587997546E-10</v>
      </c>
      <c r="AI92" s="39">
        <f t="shared" si="28"/>
        <v>1.524131386448385E-08</v>
      </c>
      <c r="AJ92" s="59">
        <f t="shared" si="37"/>
        <v>4.877220133123202E-07</v>
      </c>
      <c r="AK92" s="59">
        <f t="shared" si="15"/>
        <v>1.5607050581291862E-05</v>
      </c>
      <c r="AL92" s="39">
        <f t="shared" si="23"/>
        <v>0.0004993300950114605</v>
      </c>
      <c r="AM92" s="39">
        <f t="shared" si="29"/>
        <v>0.015809098713923043</v>
      </c>
      <c r="AN92" s="39">
        <f t="shared" si="38"/>
        <v>0.2052517254511972</v>
      </c>
      <c r="AO92" s="10"/>
      <c r="AP92" s="10"/>
      <c r="AQ92" s="10"/>
      <c r="AR92" s="10"/>
      <c r="AS92" s="10"/>
      <c r="AT92" s="39"/>
      <c r="CB92" s="10"/>
      <c r="CC92" s="10"/>
      <c r="CD92" s="10"/>
    </row>
    <row r="93" spans="3:82" ht="12.75">
      <c r="C93" s="10" t="s">
        <v>98</v>
      </c>
      <c r="D93" s="41">
        <f>1-EXP(-C$21*C$11)</f>
        <v>0.9133953538137065</v>
      </c>
      <c r="E93" s="10">
        <f>SUM(E96:E195)</f>
        <v>0</v>
      </c>
      <c r="G93" s="41">
        <f>1-EXP(-D$21*D$11)</f>
        <v>0.96875</v>
      </c>
      <c r="H93"/>
      <c r="I93"/>
      <c r="K93" s="10">
        <f t="shared" si="20"/>
        <v>92</v>
      </c>
      <c r="L93" s="10">
        <f t="shared" si="36"/>
        <v>0.02961408342957275</v>
      </c>
      <c r="M93" s="59">
        <f t="shared" si="14"/>
        <v>1.7577059506143006E-05</v>
      </c>
      <c r="N93" s="39">
        <f t="shared" si="19"/>
        <v>0.00020295746568030947</v>
      </c>
      <c r="O93" s="39">
        <f t="shared" si="26"/>
        <v>0.002343493904465461</v>
      </c>
      <c r="P93" s="59">
        <f t="shared" si="35"/>
        <v>0.027050054999920834</v>
      </c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10"/>
      <c r="AD93" s="7" t="s">
        <v>76</v>
      </c>
      <c r="AE93" s="10">
        <f t="shared" si="24"/>
        <v>86.3</v>
      </c>
      <c r="AF93" s="10">
        <f t="shared" si="39"/>
        <v>0.23311344414870824</v>
      </c>
      <c r="AG93" s="59">
        <f t="shared" si="17"/>
        <v>1.192779292186106E-11</v>
      </c>
      <c r="AH93" s="39">
        <f t="shared" si="22"/>
        <v>3.816893734935739E-10</v>
      </c>
      <c r="AI93" s="39">
        <f t="shared" si="28"/>
        <v>1.2214059941186362E-08</v>
      </c>
      <c r="AJ93" s="59">
        <f t="shared" si="37"/>
        <v>3.9084989929870954E-07</v>
      </c>
      <c r="AK93" s="59">
        <f t="shared" si="15"/>
        <v>1.2507163391123725E-05</v>
      </c>
      <c r="AL93" s="39">
        <f t="shared" si="23"/>
        <v>0.00040016999906568226</v>
      </c>
      <c r="AM93" s="39">
        <f t="shared" si="29"/>
        <v>0.01270036352867502</v>
      </c>
      <c r="AN93" s="39">
        <f t="shared" si="38"/>
        <v>0.22</v>
      </c>
      <c r="AO93" s="10"/>
      <c r="AP93" s="10"/>
      <c r="AQ93" s="10"/>
      <c r="AR93" s="10"/>
      <c r="AS93" s="10"/>
      <c r="AT93" s="39"/>
      <c r="CB93" s="10"/>
      <c r="CC93" s="10"/>
      <c r="CD93" s="10"/>
    </row>
    <row r="94" spans="3:46" ht="12.75">
      <c r="C94" s="10" t="s">
        <v>99</v>
      </c>
      <c r="D94" s="41">
        <f>1-EXP(-C$22*C$11)</f>
        <v>0.9999937077591468</v>
      </c>
      <c r="G94" s="41">
        <f>1-EXP(-D$22*D$11)</f>
        <v>0.999436320363798</v>
      </c>
      <c r="H94"/>
      <c r="I94"/>
      <c r="J94" s="7" t="s">
        <v>96</v>
      </c>
      <c r="K94" s="48">
        <f t="shared" si="20"/>
        <v>96</v>
      </c>
      <c r="L94" s="48">
        <f t="shared" si="36"/>
        <v>0.01970308022847683</v>
      </c>
      <c r="M94" s="53">
        <f t="shared" si="14"/>
        <v>1.1691487104343986E-05</v>
      </c>
      <c r="N94" s="52">
        <f t="shared" si="19"/>
        <v>0.00013499838194812528</v>
      </c>
      <c r="O94" s="52">
        <f t="shared" si="26"/>
        <v>0.001558789131765134</v>
      </c>
      <c r="P94" s="53">
        <f t="shared" si="35"/>
        <v>0.017997601227659227</v>
      </c>
      <c r="Q94" s="53">
        <f aca="true" t="shared" si="40" ref="Q94:Q125">P86</f>
        <v>0</v>
      </c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10"/>
      <c r="AE94" s="10">
        <f t="shared" si="24"/>
        <v>88.24000000000001</v>
      </c>
      <c r="AF94" s="10">
        <f t="shared" si="39"/>
        <v>0.18490997223068403</v>
      </c>
      <c r="AG94" s="59">
        <f t="shared" si="17"/>
        <v>6.811260821507692E-12</v>
      </c>
      <c r="AH94" s="39">
        <f t="shared" si="22"/>
        <v>2.179603462864618E-10</v>
      </c>
      <c r="AI94" s="39">
        <f t="shared" si="28"/>
        <v>6.97473107800171E-09</v>
      </c>
      <c r="AJ94" s="59">
        <f t="shared" si="37"/>
        <v>2.2319138888101782E-07</v>
      </c>
      <c r="AK94" s="59">
        <f t="shared" si="15"/>
        <v>7.142114482794934E-06</v>
      </c>
      <c r="AL94" s="39">
        <f t="shared" si="23"/>
        <v>0.00022852999135876913</v>
      </c>
      <c r="AM94" s="39">
        <f t="shared" si="29"/>
        <v>0.007281608421192037</v>
      </c>
      <c r="AN94" s="39">
        <f t="shared" si="38"/>
        <v>0.17739246131275888</v>
      </c>
      <c r="AO94" s="10"/>
      <c r="AP94" s="10"/>
      <c r="AQ94" s="10"/>
      <c r="AR94" s="10"/>
      <c r="AS94" s="10"/>
      <c r="AT94" s="39"/>
    </row>
    <row r="95" spans="4:47" ht="12.75">
      <c r="D95" s="39"/>
      <c r="H95" s="59"/>
      <c r="I95" s="59"/>
      <c r="J95">
        <v>5</v>
      </c>
      <c r="K95" s="10">
        <f t="shared" si="20"/>
        <v>97.33333333333333</v>
      </c>
      <c r="L95" s="10">
        <f aca="true" t="shared" si="41" ref="L95:L102">SUM(M95:Q95)</f>
        <v>0.09177341941771902</v>
      </c>
      <c r="M95" s="59">
        <f aca="true" t="shared" si="42" ref="M95:M126">C$23*(EXP(-C$21*K95)-EXP(-C$22*K95))</f>
        <v>1.020573448967182E-05</v>
      </c>
      <c r="N95" s="39">
        <f t="shared" si="19"/>
        <v>0.00011784280565867294</v>
      </c>
      <c r="O95" s="39">
        <f t="shared" si="26"/>
        <v>0.0013606984207158567</v>
      </c>
      <c r="P95" s="59">
        <f t="shared" si="35"/>
        <v>0.01571093771105571</v>
      </c>
      <c r="Q95" s="59">
        <f t="shared" si="40"/>
        <v>0.07457373474579912</v>
      </c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10"/>
      <c r="AE95" s="10">
        <f t="shared" si="24"/>
        <v>90.18</v>
      </c>
      <c r="AF95" s="10">
        <f t="shared" si="39"/>
        <v>0.12104438916755283</v>
      </c>
      <c r="AG95" s="59">
        <f t="shared" si="17"/>
        <v>3.889510346341941E-12</v>
      </c>
      <c r="AH95" s="39">
        <f t="shared" si="22"/>
        <v>1.244643310824096E-10</v>
      </c>
      <c r="AI95" s="39">
        <f t="shared" si="28"/>
        <v>3.9828585936927474E-09</v>
      </c>
      <c r="AJ95" s="59">
        <f t="shared" si="37"/>
        <v>1.2745147332282884E-07</v>
      </c>
      <c r="AK95" s="59">
        <f t="shared" si="15"/>
        <v>4.07844417418201E-06</v>
      </c>
      <c r="AL95" s="39">
        <f t="shared" si="23"/>
        <v>0.00013050494081192748</v>
      </c>
      <c r="AM95" s="39">
        <f t="shared" si="29"/>
        <v>0.004166803923999085</v>
      </c>
      <c r="AN95" s="39">
        <f t="shared" si="38"/>
        <v>0.11674287029588189</v>
      </c>
      <c r="AO95" s="10"/>
      <c r="AP95" s="10"/>
      <c r="AQ95" s="10"/>
      <c r="AR95" s="10"/>
      <c r="AS95" s="10"/>
      <c r="AT95" s="39"/>
      <c r="AU95" s="20"/>
    </row>
    <row r="96" spans="4:47" ht="12.75">
      <c r="D96" s="39"/>
      <c r="H96" s="59"/>
      <c r="I96" s="59"/>
      <c r="K96" s="10">
        <f t="shared" si="20"/>
        <v>98.66666666666667</v>
      </c>
      <c r="L96" s="10">
        <f t="shared" si="41"/>
        <v>0.118449211116948</v>
      </c>
      <c r="M96" s="59">
        <f t="shared" si="42"/>
        <v>8.908791118195483E-06</v>
      </c>
      <c r="N96" s="39">
        <f t="shared" si="19"/>
        <v>0.00010286735770539124</v>
      </c>
      <c r="O96" s="39">
        <f t="shared" si="26"/>
        <v>0.0011877810492497997</v>
      </c>
      <c r="P96" s="59">
        <f t="shared" si="35"/>
        <v>0.013714635084436853</v>
      </c>
      <c r="Q96" s="59">
        <f t="shared" si="40"/>
        <v>0.10343501883443776</v>
      </c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10"/>
      <c r="AE96" s="10">
        <f t="shared" si="24"/>
        <v>92.12</v>
      </c>
      <c r="AF96" s="10">
        <f t="shared" si="39"/>
        <v>0.07373204329856817</v>
      </c>
      <c r="AG96" s="59">
        <f t="shared" si="17"/>
        <v>2.2210705375619047E-12</v>
      </c>
      <c r="AH96" s="39">
        <f t="shared" si="22"/>
        <v>7.107425720182229E-11</v>
      </c>
      <c r="AI96" s="39">
        <f t="shared" si="28"/>
        <v>2.2743762301765457E-09</v>
      </c>
      <c r="AJ96" s="59">
        <f t="shared" si="37"/>
        <v>7.278003886578424E-08</v>
      </c>
      <c r="AK96" s="59">
        <f t="shared" si="15"/>
        <v>2.328960356915203E-06</v>
      </c>
      <c r="AL96" s="39">
        <f t="shared" si="23"/>
        <v>7.452515820516043E-05</v>
      </c>
      <c r="AM96" s="39">
        <f t="shared" si="29"/>
        <v>0.0023820140869380887</v>
      </c>
      <c r="AN96" s="39">
        <f t="shared" si="38"/>
        <v>0.07127309996535758</v>
      </c>
      <c r="AO96" s="10"/>
      <c r="AP96" s="10"/>
      <c r="AQ96" s="10"/>
      <c r="AR96" s="10"/>
      <c r="AS96" s="10"/>
      <c r="AT96" s="39"/>
      <c r="AU96" s="20"/>
    </row>
    <row r="97" spans="3:47" ht="12.75">
      <c r="C97" s="10"/>
      <c r="D97" s="39"/>
      <c r="H97" s="59"/>
      <c r="I97" s="59"/>
      <c r="J97" s="7" t="s">
        <v>76</v>
      </c>
      <c r="K97" s="10">
        <f t="shared" si="20"/>
        <v>100</v>
      </c>
      <c r="L97" s="10">
        <f t="shared" si="41"/>
        <v>0.12310631475664291</v>
      </c>
      <c r="M97" s="59">
        <f t="shared" si="42"/>
        <v>7.776663136588323E-06</v>
      </c>
      <c r="N97" s="39">
        <f t="shared" si="19"/>
        <v>8.979498767144078E-05</v>
      </c>
      <c r="O97" s="39">
        <f t="shared" si="26"/>
        <v>0.0010368379934428218</v>
      </c>
      <c r="P97" s="59">
        <f t="shared" si="35"/>
        <v>0.011971905112392059</v>
      </c>
      <c r="Q97" s="59">
        <f t="shared" si="40"/>
        <v>0.11</v>
      </c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10"/>
      <c r="AE97" s="10">
        <f t="shared" si="24"/>
        <v>94.06</v>
      </c>
      <c r="AF97" s="10">
        <f t="shared" si="39"/>
        <v>0.043479715300395884</v>
      </c>
      <c r="AG97" s="59">
        <f t="shared" si="17"/>
        <v>1.268322717656493E-12</v>
      </c>
      <c r="AH97" s="39">
        <f t="shared" si="22"/>
        <v>4.058632696496048E-11</v>
      </c>
      <c r="AI97" s="39">
        <f t="shared" si="28"/>
        <v>1.2987624627946648E-09</v>
      </c>
      <c r="AJ97" s="59">
        <f t="shared" si="37"/>
        <v>4.156039866028606E-08</v>
      </c>
      <c r="AK97" s="59">
        <f t="shared" si="15"/>
        <v>1.3299324925406547E-06</v>
      </c>
      <c r="AL97" s="39">
        <f t="shared" si="23"/>
        <v>4.255737036612861E-05</v>
      </c>
      <c r="AM97" s="39">
        <f t="shared" si="29"/>
        <v>0.0013610031177619085</v>
      </c>
      <c r="AN97" s="39">
        <f t="shared" si="38"/>
        <v>0.04207478197875953</v>
      </c>
      <c r="AO97" s="10"/>
      <c r="AP97" s="10"/>
      <c r="AQ97" s="10"/>
      <c r="AR97" s="10"/>
      <c r="AS97" s="10"/>
      <c r="AT97" s="39"/>
      <c r="AU97" s="20"/>
    </row>
    <row r="98" spans="3:47" ht="12.75">
      <c r="C98" s="10"/>
      <c r="D98" s="39"/>
      <c r="H98" s="59"/>
      <c r="I98" s="59"/>
      <c r="K98" s="10">
        <f t="shared" si="20"/>
        <v>104</v>
      </c>
      <c r="L98" s="10">
        <f t="shared" si="41"/>
        <v>0.09683106795426308</v>
      </c>
      <c r="M98" s="59">
        <f t="shared" si="42"/>
        <v>5.172694371574138E-06</v>
      </c>
      <c r="N98" s="39">
        <f t="shared" si="19"/>
        <v>5.9727677432538457E-05</v>
      </c>
      <c r="O98" s="39">
        <f t="shared" si="26"/>
        <v>0.0006896590431292147</v>
      </c>
      <c r="P98" s="59">
        <f t="shared" si="35"/>
        <v>0.007963278909559229</v>
      </c>
      <c r="Q98" s="59">
        <f t="shared" si="40"/>
        <v>0.08811322962977051</v>
      </c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10"/>
      <c r="AD98" s="7" t="s">
        <v>96</v>
      </c>
      <c r="AE98" s="95">
        <f t="shared" si="24"/>
        <v>96</v>
      </c>
      <c r="AF98" s="48">
        <f t="shared" si="39"/>
        <v>0.025239165379468773</v>
      </c>
      <c r="AG98" s="53">
        <f t="shared" si="17"/>
        <v>7.242644881910698E-13</v>
      </c>
      <c r="AH98" s="52">
        <f t="shared" si="22"/>
        <v>2.317646362210006E-11</v>
      </c>
      <c r="AI98" s="52">
        <f t="shared" si="28"/>
        <v>7.416468358821203E-10</v>
      </c>
      <c r="AJ98" s="53">
        <f t="shared" si="37"/>
        <v>2.373269870372848E-08</v>
      </c>
      <c r="AK98" s="53">
        <f aca="true" t="shared" si="43" ref="AK98:AK129">AJ90</f>
        <v>7.594462795749361E-07</v>
      </c>
      <c r="AL98" s="52">
        <f t="shared" si="23"/>
        <v>2.430214089454865E-05</v>
      </c>
      <c r="AM98" s="52">
        <f t="shared" si="29"/>
        <v>0.000777420048613304</v>
      </c>
      <c r="AN98" s="52">
        <f t="shared" si="38"/>
        <v>0.024436659245435078</v>
      </c>
      <c r="AO98" s="52">
        <f aca="true" t="shared" si="44" ref="AO98:AO130">AN90</f>
        <v>0</v>
      </c>
      <c r="AP98" s="10"/>
      <c r="AQ98" s="10"/>
      <c r="AR98" s="10"/>
      <c r="AS98" s="10"/>
      <c r="AT98" s="39"/>
      <c r="AU98" s="39"/>
    </row>
    <row r="99" spans="3:47" ht="12.75">
      <c r="C99" s="10"/>
      <c r="D99" s="39"/>
      <c r="K99" s="10">
        <f t="shared" si="20"/>
        <v>108</v>
      </c>
      <c r="L99" s="10">
        <f t="shared" si="41"/>
        <v>0.06643855326566767</v>
      </c>
      <c r="M99" s="59">
        <f t="shared" si="42"/>
        <v>3.4406488479393163E-06</v>
      </c>
      <c r="N99" s="39">
        <f t="shared" si="19"/>
        <v>3.972822474833738E-05</v>
      </c>
      <c r="O99" s="39">
        <f t="shared" si="26"/>
        <v>0.00045873087064048947</v>
      </c>
      <c r="P99" s="59">
        <f t="shared" si="35"/>
        <v>0.005296835756196211</v>
      </c>
      <c r="Q99" s="59">
        <f t="shared" si="40"/>
        <v>0.060639817765234694</v>
      </c>
      <c r="AD99">
        <v>9</v>
      </c>
      <c r="AE99" s="10">
        <f t="shared" si="24"/>
        <v>96.76666666666667</v>
      </c>
      <c r="AF99" s="10">
        <f aca="true" t="shared" si="45" ref="AF99:AF106">SUM(AG99:AO99)</f>
        <v>0.164705725862479</v>
      </c>
      <c r="AG99" s="59">
        <f aca="true" t="shared" si="46" ref="AG99:AG130">D$23*(EXP(-D$21*AE99)-EXP(-D$22*AE99))</f>
        <v>5.80409927149669E-13</v>
      </c>
      <c r="AH99" s="39">
        <f t="shared" si="22"/>
        <v>1.8573117668780682E-11</v>
      </c>
      <c r="AI99" s="39">
        <f t="shared" si="28"/>
        <v>5.943397653854281E-10</v>
      </c>
      <c r="AJ99" s="59">
        <f t="shared" si="37"/>
        <v>1.901887246474184E-08</v>
      </c>
      <c r="AK99" s="59">
        <f t="shared" si="43"/>
        <v>6.086038699222391E-07</v>
      </c>
      <c r="AL99" s="39">
        <f t="shared" si="23"/>
        <v>1.947523699829157E-05</v>
      </c>
      <c r="AM99" s="39">
        <f t="shared" si="29"/>
        <v>0.0006230535261889151</v>
      </c>
      <c r="AN99" s="39">
        <f t="shared" si="38"/>
        <v>0.019664405543402885</v>
      </c>
      <c r="AO99" s="39">
        <f t="shared" si="44"/>
        <v>0.14439816331965322</v>
      </c>
      <c r="AT99" s="39"/>
      <c r="AU99" s="39"/>
    </row>
    <row r="100" spans="3:47" ht="12.75">
      <c r="C100" s="10"/>
      <c r="D100" s="39"/>
      <c r="K100" s="10">
        <f t="shared" si="20"/>
        <v>112</v>
      </c>
      <c r="L100" s="10">
        <f t="shared" si="41"/>
        <v>0.04446793373937367</v>
      </c>
      <c r="M100" s="59">
        <f t="shared" si="42"/>
        <v>2.2885683252195744E-06</v>
      </c>
      <c r="N100" s="39">
        <f t="shared" si="19"/>
        <v>2.6425468216759206E-05</v>
      </c>
      <c r="O100" s="39">
        <f t="shared" si="26"/>
        <v>0.0003051276043513076</v>
      </c>
      <c r="P100" s="59">
        <f t="shared" si="35"/>
        <v>0.003523223974585155</v>
      </c>
      <c r="Q100" s="59">
        <f t="shared" si="40"/>
        <v>0.04061086812389523</v>
      </c>
      <c r="AE100" s="10">
        <f t="shared" si="24"/>
        <v>97.53333333333333</v>
      </c>
      <c r="AF100" s="10">
        <f t="shared" si="45"/>
        <v>0.22157626476568043</v>
      </c>
      <c r="AG100" s="59">
        <f t="shared" si="46"/>
        <v>4.651279871187225E-13</v>
      </c>
      <c r="AH100" s="39">
        <f t="shared" si="22"/>
        <v>1.4884095587793716E-11</v>
      </c>
      <c r="AI100" s="39">
        <f t="shared" si="28"/>
        <v>4.762910587997546E-10</v>
      </c>
      <c r="AJ100" s="59">
        <f t="shared" si="37"/>
        <v>1.524131386448385E-08</v>
      </c>
      <c r="AK100" s="59">
        <f t="shared" si="43"/>
        <v>4.877220133123202E-07</v>
      </c>
      <c r="AL100" s="39">
        <f t="shared" si="23"/>
        <v>1.5607050581291862E-05</v>
      </c>
      <c r="AM100" s="39">
        <f t="shared" si="29"/>
        <v>0.0004993300950114605</v>
      </c>
      <c r="AN100" s="39">
        <f t="shared" si="38"/>
        <v>0.015809098713923043</v>
      </c>
      <c r="AO100" s="39">
        <f t="shared" si="44"/>
        <v>0.2052517254511972</v>
      </c>
      <c r="AT100" s="39"/>
      <c r="AU100" s="39"/>
    </row>
    <row r="101" spans="3:47" ht="12.75">
      <c r="C101" s="10"/>
      <c r="D101" s="39"/>
      <c r="K101" s="10">
        <f t="shared" si="20"/>
        <v>116</v>
      </c>
      <c r="L101" s="10">
        <f t="shared" si="41"/>
        <v>0.02961560568459227</v>
      </c>
      <c r="M101" s="59">
        <f t="shared" si="42"/>
        <v>1.5222550195249404E-06</v>
      </c>
      <c r="N101" s="39">
        <f t="shared" si="19"/>
        <v>1.7577059506143006E-05</v>
      </c>
      <c r="O101" s="39">
        <f t="shared" si="26"/>
        <v>0.00020295746568030947</v>
      </c>
      <c r="P101" s="59">
        <f t="shared" si="35"/>
        <v>0.002343493904465461</v>
      </c>
      <c r="Q101" s="59">
        <f t="shared" si="40"/>
        <v>0.027050054999920834</v>
      </c>
      <c r="AD101" s="7" t="s">
        <v>76</v>
      </c>
      <c r="AE101" s="10">
        <f t="shared" si="24"/>
        <v>98.3</v>
      </c>
      <c r="AF101" s="10">
        <f t="shared" si="45"/>
        <v>0.23311344414908097</v>
      </c>
      <c r="AG101" s="59">
        <f t="shared" si="46"/>
        <v>3.7274352880826396E-13</v>
      </c>
      <c r="AH101" s="39">
        <f t="shared" si="22"/>
        <v>1.192779292186106E-11</v>
      </c>
      <c r="AI101" s="39">
        <f t="shared" si="28"/>
        <v>3.816893734935739E-10</v>
      </c>
      <c r="AJ101" s="59">
        <f t="shared" si="37"/>
        <v>1.2214059941186362E-08</v>
      </c>
      <c r="AK101" s="59">
        <f t="shared" si="43"/>
        <v>3.9084989929870954E-07</v>
      </c>
      <c r="AL101" s="39">
        <f t="shared" si="23"/>
        <v>1.2507163391123725E-05</v>
      </c>
      <c r="AM101" s="39">
        <f t="shared" si="29"/>
        <v>0.00040016999906568226</v>
      </c>
      <c r="AN101" s="39">
        <f t="shared" si="38"/>
        <v>0.01270036352867502</v>
      </c>
      <c r="AO101" s="39">
        <f t="shared" si="44"/>
        <v>0.22</v>
      </c>
      <c r="AT101" s="39"/>
      <c r="AU101" s="39"/>
    </row>
    <row r="102" spans="3:47" ht="12.75">
      <c r="C102" s="10"/>
      <c r="D102" s="39"/>
      <c r="J102" s="7" t="s">
        <v>96</v>
      </c>
      <c r="K102" s="48">
        <f t="shared" si="20"/>
        <v>120</v>
      </c>
      <c r="L102" s="48">
        <f t="shared" si="41"/>
        <v>0.019704092765580893</v>
      </c>
      <c r="M102" s="53">
        <f t="shared" si="42"/>
        <v>1.0125371040633229E-06</v>
      </c>
      <c r="N102" s="52">
        <f aca="true" t="shared" si="47" ref="N102:N133">M94</f>
        <v>1.1691487104343986E-05</v>
      </c>
      <c r="O102" s="52">
        <f t="shared" si="26"/>
        <v>0.00013499838194812528</v>
      </c>
      <c r="P102" s="53">
        <f t="shared" si="35"/>
        <v>0.001558789131765134</v>
      </c>
      <c r="Q102" s="53">
        <f t="shared" si="40"/>
        <v>0.017997601227659227</v>
      </c>
      <c r="R102" s="52">
        <f aca="true" t="shared" si="48" ref="R102:R133">Q94</f>
        <v>0</v>
      </c>
      <c r="AE102" s="10">
        <f t="shared" si="24"/>
        <v>100.24000000000001</v>
      </c>
      <c r="AF102" s="10">
        <f t="shared" si="45"/>
        <v>0.1849099722308969</v>
      </c>
      <c r="AG102" s="59">
        <f t="shared" si="46"/>
        <v>2.1285190067214635E-13</v>
      </c>
      <c r="AH102" s="39">
        <f t="shared" si="22"/>
        <v>6.811260821507692E-12</v>
      </c>
      <c r="AI102" s="39">
        <f t="shared" si="28"/>
        <v>2.179603462864618E-10</v>
      </c>
      <c r="AJ102" s="59">
        <f t="shared" si="37"/>
        <v>6.97473107800171E-09</v>
      </c>
      <c r="AK102" s="59">
        <f t="shared" si="43"/>
        <v>2.2319138888101782E-07</v>
      </c>
      <c r="AL102" s="39">
        <f t="shared" si="23"/>
        <v>7.142114482794934E-06</v>
      </c>
      <c r="AM102" s="39">
        <f t="shared" si="29"/>
        <v>0.00022852999135876913</v>
      </c>
      <c r="AN102" s="39">
        <f t="shared" si="38"/>
        <v>0.007281608421192037</v>
      </c>
      <c r="AO102" s="39">
        <f t="shared" si="44"/>
        <v>0.17739246131275888</v>
      </c>
      <c r="AT102" s="39"/>
      <c r="AU102" s="39"/>
    </row>
    <row r="103" spans="3:47" ht="12.75">
      <c r="C103" s="10"/>
      <c r="D103" s="39"/>
      <c r="J103">
        <v>6</v>
      </c>
      <c r="K103" s="10">
        <f aca="true" t="shared" si="49" ref="K103:K134">K95+C$11</f>
        <v>121.33333333333333</v>
      </c>
      <c r="L103" s="10">
        <f aca="true" t="shared" si="50" ref="L103:L110">SUM(M103:R103)</f>
        <v>0.09177430328174357</v>
      </c>
      <c r="M103" s="59">
        <f t="shared" si="42"/>
        <v>8.838640245492798E-07</v>
      </c>
      <c r="N103" s="39">
        <f t="shared" si="47"/>
        <v>1.020573448967182E-05</v>
      </c>
      <c r="O103" s="39">
        <f t="shared" si="26"/>
        <v>0.00011784280565867294</v>
      </c>
      <c r="P103" s="59">
        <f t="shared" si="35"/>
        <v>0.0013606984207158567</v>
      </c>
      <c r="Q103" s="59">
        <f t="shared" si="40"/>
        <v>0.01571093771105571</v>
      </c>
      <c r="R103" s="39">
        <f t="shared" si="48"/>
        <v>0.07457373474579912</v>
      </c>
      <c r="AE103" s="10">
        <f t="shared" si="24"/>
        <v>102.18</v>
      </c>
      <c r="AF103" s="10">
        <f t="shared" si="45"/>
        <v>0.12104438916767439</v>
      </c>
      <c r="AG103" s="59">
        <f t="shared" si="46"/>
        <v>1.2154719832319476E-13</v>
      </c>
      <c r="AH103" s="39">
        <f t="shared" si="22"/>
        <v>3.889510346341941E-12</v>
      </c>
      <c r="AI103" s="39">
        <f t="shared" si="28"/>
        <v>1.244643310824096E-10</v>
      </c>
      <c r="AJ103" s="59">
        <f t="shared" si="37"/>
        <v>3.9828585936927474E-09</v>
      </c>
      <c r="AK103" s="59">
        <f t="shared" si="43"/>
        <v>1.2745147332282884E-07</v>
      </c>
      <c r="AL103" s="39">
        <f t="shared" si="23"/>
        <v>4.07844417418201E-06</v>
      </c>
      <c r="AM103" s="39">
        <f t="shared" si="29"/>
        <v>0.00013050494081192748</v>
      </c>
      <c r="AN103" s="39">
        <f t="shared" si="38"/>
        <v>0.004166803923999085</v>
      </c>
      <c r="AO103" s="39">
        <f t="shared" si="44"/>
        <v>0.11674287029588189</v>
      </c>
      <c r="AT103" s="39"/>
      <c r="AU103" s="39"/>
    </row>
    <row r="104" spans="3:47" ht="12.75">
      <c r="C104" s="10"/>
      <c r="D104" s="39"/>
      <c r="K104" s="10">
        <f t="shared" si="49"/>
        <v>122.66666666666667</v>
      </c>
      <c r="L104" s="10">
        <f t="shared" si="50"/>
        <v>0.11844998265965073</v>
      </c>
      <c r="M104" s="59">
        <f t="shared" si="42"/>
        <v>7.715427027389133E-07</v>
      </c>
      <c r="N104" s="39">
        <f t="shared" si="47"/>
        <v>8.908791118195483E-06</v>
      </c>
      <c r="O104" s="39">
        <f t="shared" si="26"/>
        <v>0.00010286735770539124</v>
      </c>
      <c r="P104" s="59">
        <f t="shared" si="35"/>
        <v>0.0011877810492497997</v>
      </c>
      <c r="Q104" s="59">
        <f t="shared" si="40"/>
        <v>0.013714635084436853</v>
      </c>
      <c r="R104" s="39">
        <f t="shared" si="48"/>
        <v>0.10343501883443776</v>
      </c>
      <c r="AE104" s="10">
        <f t="shared" si="24"/>
        <v>104.12</v>
      </c>
      <c r="AF104" s="10">
        <f t="shared" si="45"/>
        <v>0.07373204329863757</v>
      </c>
      <c r="AG104" s="59">
        <f t="shared" si="46"/>
        <v>6.940845429881241E-14</v>
      </c>
      <c r="AH104" s="39">
        <f t="shared" si="22"/>
        <v>2.2210705375619047E-12</v>
      </c>
      <c r="AI104" s="39">
        <f t="shared" si="28"/>
        <v>7.107425720182229E-11</v>
      </c>
      <c r="AJ104" s="59">
        <f t="shared" si="37"/>
        <v>2.2743762301765457E-09</v>
      </c>
      <c r="AK104" s="59">
        <f t="shared" si="43"/>
        <v>7.278003886578424E-08</v>
      </c>
      <c r="AL104" s="39">
        <f t="shared" si="23"/>
        <v>2.328960356915203E-06</v>
      </c>
      <c r="AM104" s="39">
        <f t="shared" si="29"/>
        <v>7.452515820516043E-05</v>
      </c>
      <c r="AN104" s="39">
        <f t="shared" si="38"/>
        <v>0.0023820140869380887</v>
      </c>
      <c r="AO104" s="39">
        <f t="shared" si="44"/>
        <v>0.07127309996535758</v>
      </c>
      <c r="AT104" s="39"/>
      <c r="AU104" s="39"/>
    </row>
    <row r="105" spans="3:47" ht="12.75">
      <c r="C105" s="10"/>
      <c r="D105" s="39"/>
      <c r="J105" s="7" t="s">
        <v>76</v>
      </c>
      <c r="K105" s="10">
        <f t="shared" si="49"/>
        <v>124</v>
      </c>
      <c r="L105" s="10">
        <f t="shared" si="50"/>
        <v>0.12310698825180236</v>
      </c>
      <c r="M105" s="59">
        <f t="shared" si="42"/>
        <v>6.734951594542226E-07</v>
      </c>
      <c r="N105" s="39">
        <f t="shared" si="47"/>
        <v>7.776663136588323E-06</v>
      </c>
      <c r="O105" s="39">
        <f t="shared" si="26"/>
        <v>8.979498767144078E-05</v>
      </c>
      <c r="P105" s="59">
        <f t="shared" si="35"/>
        <v>0.0010368379934428218</v>
      </c>
      <c r="Q105" s="59">
        <f t="shared" si="40"/>
        <v>0.011971905112392059</v>
      </c>
      <c r="R105" s="39">
        <f t="shared" si="48"/>
        <v>0.11</v>
      </c>
      <c r="AC105" s="6"/>
      <c r="AE105" s="10">
        <f t="shared" si="24"/>
        <v>106.06</v>
      </c>
      <c r="AF105" s="10">
        <f t="shared" si="45"/>
        <v>0.04347971530043552</v>
      </c>
      <c r="AG105" s="59">
        <f t="shared" si="46"/>
        <v>3.96350849267663E-14</v>
      </c>
      <c r="AH105" s="39">
        <f t="shared" si="22"/>
        <v>1.268322717656493E-12</v>
      </c>
      <c r="AI105" s="39">
        <f t="shared" si="28"/>
        <v>4.058632696496048E-11</v>
      </c>
      <c r="AJ105" s="59">
        <f t="shared" si="37"/>
        <v>1.2987624627946648E-09</v>
      </c>
      <c r="AK105" s="59">
        <f t="shared" si="43"/>
        <v>4.156039866028606E-08</v>
      </c>
      <c r="AL105" s="39">
        <f t="shared" si="23"/>
        <v>1.3299324925406547E-06</v>
      </c>
      <c r="AM105" s="39">
        <f t="shared" si="29"/>
        <v>4.255737036612861E-05</v>
      </c>
      <c r="AN105" s="39">
        <f t="shared" si="38"/>
        <v>0.0013610031177619085</v>
      </c>
      <c r="AO105" s="39">
        <f t="shared" si="44"/>
        <v>0.04207478197875953</v>
      </c>
      <c r="AP105" s="6"/>
      <c r="AQ105" s="6"/>
      <c r="AR105" s="6"/>
      <c r="AS105" s="6"/>
      <c r="AT105" s="59"/>
      <c r="AU105" s="39"/>
    </row>
    <row r="106" spans="3:47" ht="12.75">
      <c r="C106" s="10"/>
      <c r="D106" s="39"/>
      <c r="K106" s="10">
        <f t="shared" si="49"/>
        <v>128</v>
      </c>
      <c r="L106" s="10">
        <f t="shared" si="50"/>
        <v>0.09683151593362896</v>
      </c>
      <c r="M106" s="59">
        <f t="shared" si="42"/>
        <v>4.479793658800096E-07</v>
      </c>
      <c r="N106" s="39">
        <f t="shared" si="47"/>
        <v>5.172694371574138E-06</v>
      </c>
      <c r="O106" s="39">
        <f t="shared" si="26"/>
        <v>5.9727677432538457E-05</v>
      </c>
      <c r="P106" s="59">
        <f t="shared" si="35"/>
        <v>0.0006896590431292147</v>
      </c>
      <c r="Q106" s="59">
        <f t="shared" si="40"/>
        <v>0.007963278909559229</v>
      </c>
      <c r="R106" s="39">
        <f t="shared" si="48"/>
        <v>0.08811322962977051</v>
      </c>
      <c r="AD106" s="7" t="s">
        <v>96</v>
      </c>
      <c r="AE106" s="95">
        <f t="shared" si="24"/>
        <v>108</v>
      </c>
      <c r="AF106" s="52">
        <f t="shared" si="45"/>
        <v>0.025239165379491408</v>
      </c>
      <c r="AG106" s="53">
        <f t="shared" si="46"/>
        <v>2.2633265255971208E-14</v>
      </c>
      <c r="AH106" s="52">
        <f aca="true" t="shared" si="51" ref="AH106:AH130">AG98</f>
        <v>7.242644881910698E-13</v>
      </c>
      <c r="AI106" s="52">
        <f t="shared" si="28"/>
        <v>2.317646362210006E-11</v>
      </c>
      <c r="AJ106" s="53">
        <f t="shared" si="37"/>
        <v>7.416468358821203E-10</v>
      </c>
      <c r="AK106" s="53">
        <f t="shared" si="43"/>
        <v>2.373269870372848E-08</v>
      </c>
      <c r="AL106" s="52">
        <f aca="true" t="shared" si="52" ref="AL106:AL130">AK98</f>
        <v>7.594462795749361E-07</v>
      </c>
      <c r="AM106" s="52">
        <f t="shared" si="29"/>
        <v>2.430214089454865E-05</v>
      </c>
      <c r="AN106" s="52">
        <f t="shared" si="38"/>
        <v>0.000777420048613304</v>
      </c>
      <c r="AO106" s="52">
        <f t="shared" si="44"/>
        <v>0.024436659245435078</v>
      </c>
      <c r="AP106" s="52">
        <f aca="true" t="shared" si="53" ref="AP106:AP130">AO98</f>
        <v>0</v>
      </c>
      <c r="AT106" s="39"/>
      <c r="AU106" s="39"/>
    </row>
    <row r="107" spans="3:47" ht="12.75">
      <c r="C107" s="10"/>
      <c r="D107" s="39"/>
      <c r="K107" s="10">
        <f t="shared" si="49"/>
        <v>132</v>
      </c>
      <c r="L107" s="10">
        <f t="shared" si="50"/>
        <v>0.0664388512418438</v>
      </c>
      <c r="M107" s="59">
        <f t="shared" si="42"/>
        <v>2.979761761270626E-07</v>
      </c>
      <c r="N107" s="39">
        <f t="shared" si="47"/>
        <v>3.4406488479393163E-06</v>
      </c>
      <c r="O107" s="39">
        <f t="shared" si="26"/>
        <v>3.972822474833738E-05</v>
      </c>
      <c r="P107" s="59">
        <f t="shared" si="35"/>
        <v>0.00045873087064048947</v>
      </c>
      <c r="Q107" s="59">
        <f t="shared" si="40"/>
        <v>0.005296835756196211</v>
      </c>
      <c r="R107" s="39">
        <f t="shared" si="48"/>
        <v>0.060639817765234694</v>
      </c>
      <c r="AD107">
        <v>10</v>
      </c>
      <c r="AE107" s="10">
        <f aca="true" t="shared" si="54" ref="AE107:AE124">AE99+D$11</f>
        <v>108.76666666666667</v>
      </c>
      <c r="AF107" s="10">
        <f aca="true" t="shared" si="55" ref="AF107:AF114">SUM(AG107:AP107)</f>
        <v>0.16470572586249713</v>
      </c>
      <c r="AG107" s="59">
        <f t="shared" si="46"/>
        <v>1.8137810223427337E-14</v>
      </c>
      <c r="AH107" s="39">
        <f t="shared" si="51"/>
        <v>5.80409927149669E-13</v>
      </c>
      <c r="AI107" s="39">
        <f t="shared" si="28"/>
        <v>1.8573117668780682E-11</v>
      </c>
      <c r="AJ107" s="59">
        <f t="shared" si="37"/>
        <v>5.943397653854281E-10</v>
      </c>
      <c r="AK107" s="59">
        <f t="shared" si="43"/>
        <v>1.901887246474184E-08</v>
      </c>
      <c r="AL107" s="39">
        <f t="shared" si="52"/>
        <v>6.086038699222391E-07</v>
      </c>
      <c r="AM107" s="39">
        <f t="shared" si="29"/>
        <v>1.947523699829157E-05</v>
      </c>
      <c r="AN107" s="39">
        <f t="shared" si="38"/>
        <v>0.0006230535261889151</v>
      </c>
      <c r="AO107" s="39">
        <f t="shared" si="44"/>
        <v>0.019664405543402885</v>
      </c>
      <c r="AP107" s="39">
        <f t="shared" si="53"/>
        <v>0.14439816331965322</v>
      </c>
      <c r="AT107" s="39"/>
      <c r="AU107" s="39"/>
    </row>
    <row r="108" spans="3:47" ht="12.75">
      <c r="C108" s="10"/>
      <c r="D108" s="39"/>
      <c r="K108" s="10">
        <f t="shared" si="49"/>
        <v>136</v>
      </c>
      <c r="L108" s="10">
        <f t="shared" si="50"/>
        <v>0.04446813194002375</v>
      </c>
      <c r="M108" s="59">
        <f t="shared" si="42"/>
        <v>1.9820065007879933E-07</v>
      </c>
      <c r="N108" s="39">
        <f t="shared" si="47"/>
        <v>2.2885683252195744E-06</v>
      </c>
      <c r="O108" s="39">
        <f t="shared" si="26"/>
        <v>2.6425468216759206E-05</v>
      </c>
      <c r="P108" s="59">
        <f t="shared" si="35"/>
        <v>0.0003051276043513076</v>
      </c>
      <c r="Q108" s="59">
        <f t="shared" si="40"/>
        <v>0.003523223974585155</v>
      </c>
      <c r="R108" s="39">
        <f t="shared" si="48"/>
        <v>0.04061086812389523</v>
      </c>
      <c r="AC108" s="6"/>
      <c r="AE108" s="10">
        <f t="shared" si="54"/>
        <v>109.53333333333333</v>
      </c>
      <c r="AF108" s="10">
        <f t="shared" si="55"/>
        <v>0.22157626476569497</v>
      </c>
      <c r="AG108" s="59">
        <f t="shared" si="46"/>
        <v>1.4535249597460187E-14</v>
      </c>
      <c r="AH108" s="39">
        <f t="shared" si="51"/>
        <v>4.651279871187225E-13</v>
      </c>
      <c r="AI108" s="39">
        <f t="shared" si="28"/>
        <v>1.4884095587793716E-11</v>
      </c>
      <c r="AJ108" s="59">
        <f t="shared" si="37"/>
        <v>4.762910587997546E-10</v>
      </c>
      <c r="AK108" s="59">
        <f t="shared" si="43"/>
        <v>1.524131386448385E-08</v>
      </c>
      <c r="AL108" s="39">
        <f t="shared" si="52"/>
        <v>4.877220133123202E-07</v>
      </c>
      <c r="AM108" s="39">
        <f t="shared" si="29"/>
        <v>1.5607050581291862E-05</v>
      </c>
      <c r="AN108" s="39">
        <f t="shared" si="38"/>
        <v>0.0004993300950114605</v>
      </c>
      <c r="AO108" s="39">
        <f t="shared" si="44"/>
        <v>0.015809098713923043</v>
      </c>
      <c r="AP108" s="39">
        <f t="shared" si="53"/>
        <v>0.2052517254511972</v>
      </c>
      <c r="AQ108" s="6"/>
      <c r="AR108" s="6"/>
      <c r="AS108" s="6"/>
      <c r="AT108" s="59"/>
      <c r="AU108" s="39"/>
    </row>
    <row r="109" spans="3:47" ht="12.75">
      <c r="C109" s="10"/>
      <c r="D109" s="39"/>
      <c r="K109" s="10">
        <f t="shared" si="49"/>
        <v>140</v>
      </c>
      <c r="L109" s="10">
        <f t="shared" si="50"/>
        <v>0.029615737518949643</v>
      </c>
      <c r="M109" s="59">
        <f t="shared" si="42"/>
        <v>1.3183435737126665E-07</v>
      </c>
      <c r="N109" s="39">
        <f t="shared" si="47"/>
        <v>1.5222550195249404E-06</v>
      </c>
      <c r="O109" s="39">
        <f t="shared" si="26"/>
        <v>1.7577059506143006E-05</v>
      </c>
      <c r="P109" s="59">
        <f t="shared" si="35"/>
        <v>0.00020295746568030947</v>
      </c>
      <c r="Q109" s="59">
        <f t="shared" si="40"/>
        <v>0.002343493904465461</v>
      </c>
      <c r="R109" s="39">
        <f t="shared" si="48"/>
        <v>0.027050054999920834</v>
      </c>
      <c r="AD109" s="7" t="s">
        <v>76</v>
      </c>
      <c r="AE109" s="10">
        <f t="shared" si="54"/>
        <v>110.3</v>
      </c>
      <c r="AF109" s="10">
        <f t="shared" si="55"/>
        <v>0.23311344414909263</v>
      </c>
      <c r="AG109" s="59">
        <f t="shared" si="46"/>
        <v>1.1648235275258284E-14</v>
      </c>
      <c r="AH109" s="39">
        <f t="shared" si="51"/>
        <v>3.7274352880826396E-13</v>
      </c>
      <c r="AI109" s="39">
        <f t="shared" si="28"/>
        <v>1.192779292186106E-11</v>
      </c>
      <c r="AJ109" s="59">
        <f t="shared" si="37"/>
        <v>3.816893734935739E-10</v>
      </c>
      <c r="AK109" s="59">
        <f t="shared" si="43"/>
        <v>1.2214059941186362E-08</v>
      </c>
      <c r="AL109" s="39">
        <f t="shared" si="52"/>
        <v>3.9084989929870954E-07</v>
      </c>
      <c r="AM109" s="39">
        <f t="shared" si="29"/>
        <v>1.2507163391123725E-05</v>
      </c>
      <c r="AN109" s="39">
        <f t="shared" si="38"/>
        <v>0.00040016999906568226</v>
      </c>
      <c r="AO109" s="39">
        <f t="shared" si="44"/>
        <v>0.01270036352867502</v>
      </c>
      <c r="AP109" s="39">
        <f t="shared" si="53"/>
        <v>0.22</v>
      </c>
      <c r="AT109" s="39"/>
      <c r="AU109" s="39"/>
    </row>
    <row r="110" spans="3:47" ht="12.75">
      <c r="C110" s="10"/>
      <c r="D110" s="39"/>
      <c r="J110" s="7" t="s">
        <v>96</v>
      </c>
      <c r="K110" s="48">
        <f t="shared" si="49"/>
        <v>144</v>
      </c>
      <c r="L110" s="48">
        <f t="shared" si="50"/>
        <v>0.019704180455998543</v>
      </c>
      <c r="M110" s="53">
        <f t="shared" si="42"/>
        <v>8.769041764789824E-08</v>
      </c>
      <c r="N110" s="52">
        <f t="shared" si="47"/>
        <v>1.0125371040633229E-06</v>
      </c>
      <c r="O110" s="52">
        <f aca="true" t="shared" si="56" ref="O110:O141">N102</f>
        <v>1.1691487104343986E-05</v>
      </c>
      <c r="P110" s="53">
        <f t="shared" si="35"/>
        <v>0.00013499838194812528</v>
      </c>
      <c r="Q110" s="53">
        <f t="shared" si="40"/>
        <v>0.001558789131765134</v>
      </c>
      <c r="R110" s="52">
        <f t="shared" si="48"/>
        <v>0.017997601227659227</v>
      </c>
      <c r="S110" s="52">
        <f aca="true" t="shared" si="57" ref="S110:S141">R102</f>
        <v>0</v>
      </c>
      <c r="AE110" s="10">
        <f t="shared" si="54"/>
        <v>112.24000000000001</v>
      </c>
      <c r="AF110" s="10">
        <f t="shared" si="55"/>
        <v>0.18490997223090355</v>
      </c>
      <c r="AG110" s="59">
        <f t="shared" si="46"/>
        <v>6.651621896004623E-15</v>
      </c>
      <c r="AH110" s="39">
        <f t="shared" si="51"/>
        <v>2.1285190067214635E-13</v>
      </c>
      <c r="AI110" s="39">
        <f t="shared" si="28"/>
        <v>6.811260821507692E-12</v>
      </c>
      <c r="AJ110" s="59">
        <f t="shared" si="37"/>
        <v>2.179603462864618E-10</v>
      </c>
      <c r="AK110" s="59">
        <f t="shared" si="43"/>
        <v>6.97473107800171E-09</v>
      </c>
      <c r="AL110" s="39">
        <f t="shared" si="52"/>
        <v>2.2319138888101782E-07</v>
      </c>
      <c r="AM110" s="39">
        <f t="shared" si="29"/>
        <v>7.142114482794934E-06</v>
      </c>
      <c r="AN110" s="39">
        <f t="shared" si="38"/>
        <v>0.00022852999135876913</v>
      </c>
      <c r="AO110" s="39">
        <f t="shared" si="44"/>
        <v>0.007281608421192037</v>
      </c>
      <c r="AP110" s="39">
        <f t="shared" si="53"/>
        <v>0.17739246131275888</v>
      </c>
      <c r="AT110" s="39"/>
      <c r="AU110" s="39"/>
    </row>
    <row r="111" spans="3:47" ht="12.75">
      <c r="C111" s="10"/>
      <c r="D111" s="39"/>
      <c r="J111">
        <v>7</v>
      </c>
      <c r="K111" s="10">
        <f t="shared" si="49"/>
        <v>145.33333333333331</v>
      </c>
      <c r="L111" s="10">
        <f aca="true" t="shared" si="58" ref="L111:L118">SUM(M111:S111)</f>
        <v>0.0917743798284747</v>
      </c>
      <c r="M111" s="59">
        <f t="shared" si="42"/>
        <v>7.654673112288388E-08</v>
      </c>
      <c r="N111" s="39">
        <f t="shared" si="47"/>
        <v>8.838640245492798E-07</v>
      </c>
      <c r="O111" s="39">
        <f t="shared" si="56"/>
        <v>1.020573448967182E-05</v>
      </c>
      <c r="P111" s="59">
        <f t="shared" si="35"/>
        <v>0.00011784280565867294</v>
      </c>
      <c r="Q111" s="59">
        <f t="shared" si="40"/>
        <v>0.0013606984207158567</v>
      </c>
      <c r="R111" s="39">
        <f t="shared" si="48"/>
        <v>0.01571093771105571</v>
      </c>
      <c r="S111" s="39">
        <f t="shared" si="57"/>
        <v>0.07457373474579912</v>
      </c>
      <c r="AE111" s="10">
        <f t="shared" si="54"/>
        <v>114.18</v>
      </c>
      <c r="AF111" s="10">
        <f t="shared" si="55"/>
        <v>0.12104438916767818</v>
      </c>
      <c r="AG111" s="59">
        <f t="shared" si="46"/>
        <v>3.798349947599833E-15</v>
      </c>
      <c r="AH111" s="39">
        <f t="shared" si="51"/>
        <v>1.2154719832319476E-13</v>
      </c>
      <c r="AI111" s="39">
        <f t="shared" si="28"/>
        <v>3.889510346341941E-12</v>
      </c>
      <c r="AJ111" s="59">
        <f t="shared" si="37"/>
        <v>1.244643310824096E-10</v>
      </c>
      <c r="AK111" s="59">
        <f t="shared" si="43"/>
        <v>3.9828585936927474E-09</v>
      </c>
      <c r="AL111" s="39">
        <f t="shared" si="52"/>
        <v>1.2745147332282884E-07</v>
      </c>
      <c r="AM111" s="39">
        <f t="shared" si="29"/>
        <v>4.07844417418201E-06</v>
      </c>
      <c r="AN111" s="39">
        <f t="shared" si="38"/>
        <v>0.00013050494081192748</v>
      </c>
      <c r="AO111" s="39">
        <f t="shared" si="44"/>
        <v>0.004166803923999085</v>
      </c>
      <c r="AP111" s="39">
        <f t="shared" si="53"/>
        <v>0.11674287029588189</v>
      </c>
      <c r="AT111" s="39"/>
      <c r="AU111" s="39"/>
    </row>
    <row r="112" spans="3:47" ht="12.75">
      <c r="C112" s="10"/>
      <c r="D112" s="39"/>
      <c r="K112" s="10">
        <f t="shared" si="49"/>
        <v>146.66666666666669</v>
      </c>
      <c r="L112" s="10">
        <f t="shared" si="58"/>
        <v>0.11845004947883353</v>
      </c>
      <c r="M112" s="59">
        <f t="shared" si="42"/>
        <v>6.681918278832002E-08</v>
      </c>
      <c r="N112" s="39">
        <f t="shared" si="47"/>
        <v>7.715427027389133E-07</v>
      </c>
      <c r="O112" s="39">
        <f t="shared" si="56"/>
        <v>8.908791118195483E-06</v>
      </c>
      <c r="P112" s="59">
        <f t="shared" si="35"/>
        <v>0.00010286735770539124</v>
      </c>
      <c r="Q112" s="59">
        <f t="shared" si="40"/>
        <v>0.0011877810492497997</v>
      </c>
      <c r="R112" s="39">
        <f t="shared" si="48"/>
        <v>0.013714635084436853</v>
      </c>
      <c r="S112" s="39">
        <f t="shared" si="57"/>
        <v>0.10343501883443776</v>
      </c>
      <c r="AE112" s="10">
        <f t="shared" si="54"/>
        <v>116.12</v>
      </c>
      <c r="AF112" s="10">
        <f t="shared" si="55"/>
        <v>0.07373204329863975</v>
      </c>
      <c r="AG112" s="59">
        <f t="shared" si="46"/>
        <v>2.1690141968378847E-15</v>
      </c>
      <c r="AH112" s="39">
        <f t="shared" si="51"/>
        <v>6.940845429881241E-14</v>
      </c>
      <c r="AI112" s="39">
        <f t="shared" si="28"/>
        <v>2.2210705375619047E-12</v>
      </c>
      <c r="AJ112" s="59">
        <f t="shared" si="37"/>
        <v>7.107425720182229E-11</v>
      </c>
      <c r="AK112" s="59">
        <f t="shared" si="43"/>
        <v>2.2743762301765457E-09</v>
      </c>
      <c r="AL112" s="39">
        <f t="shared" si="52"/>
        <v>7.278003886578424E-08</v>
      </c>
      <c r="AM112" s="39">
        <f t="shared" si="29"/>
        <v>2.328960356915203E-06</v>
      </c>
      <c r="AN112" s="39">
        <f t="shared" si="38"/>
        <v>7.452515820516043E-05</v>
      </c>
      <c r="AO112" s="39">
        <f t="shared" si="44"/>
        <v>0.0023820140869380887</v>
      </c>
      <c r="AP112" s="39">
        <f t="shared" si="53"/>
        <v>0.07127309996535758</v>
      </c>
      <c r="AT112" s="39"/>
      <c r="AU112" s="39"/>
    </row>
    <row r="113" spans="3:47" ht="12.75">
      <c r="C113" s="10"/>
      <c r="D113" s="39"/>
      <c r="J113" s="7" t="s">
        <v>76</v>
      </c>
      <c r="K113" s="10">
        <f t="shared" si="49"/>
        <v>148</v>
      </c>
      <c r="L113" s="10">
        <f t="shared" si="58"/>
        <v>0.12310704657961236</v>
      </c>
      <c r="M113" s="59">
        <f t="shared" si="42"/>
        <v>5.8327809992714217E-08</v>
      </c>
      <c r="N113" s="39">
        <f t="shared" si="47"/>
        <v>6.734951594542226E-07</v>
      </c>
      <c r="O113" s="39">
        <f t="shared" si="56"/>
        <v>7.776663136588323E-06</v>
      </c>
      <c r="P113" s="59">
        <f t="shared" si="35"/>
        <v>8.979498767144078E-05</v>
      </c>
      <c r="Q113" s="59">
        <f t="shared" si="40"/>
        <v>0.0010368379934428218</v>
      </c>
      <c r="R113" s="39">
        <f t="shared" si="48"/>
        <v>0.011971905112392059</v>
      </c>
      <c r="S113" s="39">
        <f t="shared" si="57"/>
        <v>0.11</v>
      </c>
      <c r="AE113" s="10">
        <f t="shared" si="54"/>
        <v>118.06</v>
      </c>
      <c r="AF113" s="10">
        <f t="shared" si="55"/>
        <v>0.043479715300436754</v>
      </c>
      <c r="AG113" s="59">
        <f t="shared" si="46"/>
        <v>1.2385964039614444E-15</v>
      </c>
      <c r="AH113" s="39">
        <f t="shared" si="51"/>
        <v>3.96350849267663E-14</v>
      </c>
      <c r="AI113" s="39">
        <f t="shared" si="28"/>
        <v>1.268322717656493E-12</v>
      </c>
      <c r="AJ113" s="59">
        <f t="shared" si="37"/>
        <v>4.058632696496048E-11</v>
      </c>
      <c r="AK113" s="59">
        <f t="shared" si="43"/>
        <v>1.2987624627946648E-09</v>
      </c>
      <c r="AL113" s="39">
        <f t="shared" si="52"/>
        <v>4.156039866028606E-08</v>
      </c>
      <c r="AM113" s="39">
        <f t="shared" si="29"/>
        <v>1.3299324925406547E-06</v>
      </c>
      <c r="AN113" s="39">
        <f t="shared" si="38"/>
        <v>4.255737036612861E-05</v>
      </c>
      <c r="AO113" s="39">
        <f t="shared" si="44"/>
        <v>0.0013610031177619085</v>
      </c>
      <c r="AP113" s="39">
        <f t="shared" si="53"/>
        <v>0.04207478197875953</v>
      </c>
      <c r="AT113" s="39"/>
      <c r="AU113" s="39"/>
    </row>
    <row r="114" spans="3:47" ht="12.75">
      <c r="C114" s="10"/>
      <c r="D114" s="39"/>
      <c r="K114" s="10">
        <f t="shared" si="49"/>
        <v>152</v>
      </c>
      <c r="L114" s="10">
        <f t="shared" si="58"/>
        <v>0.09683155473072343</v>
      </c>
      <c r="M114" s="59">
        <f t="shared" si="42"/>
        <v>3.879709448079832E-08</v>
      </c>
      <c r="N114" s="39">
        <f t="shared" si="47"/>
        <v>4.479793658800096E-07</v>
      </c>
      <c r="O114" s="39">
        <f t="shared" si="56"/>
        <v>5.172694371574138E-06</v>
      </c>
      <c r="P114" s="59">
        <f t="shared" si="35"/>
        <v>5.9727677432538457E-05</v>
      </c>
      <c r="Q114" s="59">
        <f t="shared" si="40"/>
        <v>0.0006896590431292147</v>
      </c>
      <c r="R114" s="39">
        <f t="shared" si="48"/>
        <v>0.007963278909559229</v>
      </c>
      <c r="S114" s="39">
        <f t="shared" si="57"/>
        <v>0.08811322962977051</v>
      </c>
      <c r="AD114" s="7" t="s">
        <v>96</v>
      </c>
      <c r="AE114" s="95">
        <f t="shared" si="54"/>
        <v>120</v>
      </c>
      <c r="AF114" s="95">
        <f t="shared" si="55"/>
        <v>0.025239165379492112</v>
      </c>
      <c r="AG114" s="53">
        <f t="shared" si="46"/>
        <v>7.072895392490989E-16</v>
      </c>
      <c r="AH114" s="52">
        <f t="shared" si="51"/>
        <v>2.2633265255971208E-14</v>
      </c>
      <c r="AI114" s="52">
        <f aca="true" t="shared" si="59" ref="AI114:AI130">AH106</f>
        <v>7.242644881910698E-13</v>
      </c>
      <c r="AJ114" s="53">
        <f t="shared" si="37"/>
        <v>2.317646362210006E-11</v>
      </c>
      <c r="AK114" s="53">
        <f t="shared" si="43"/>
        <v>7.416468358821203E-10</v>
      </c>
      <c r="AL114" s="52">
        <f t="shared" si="52"/>
        <v>2.373269870372848E-08</v>
      </c>
      <c r="AM114" s="52">
        <f aca="true" t="shared" si="60" ref="AM114:AM130">AL106</f>
        <v>7.594462795749361E-07</v>
      </c>
      <c r="AN114" s="52">
        <f t="shared" si="38"/>
        <v>2.430214089454865E-05</v>
      </c>
      <c r="AO114" s="52">
        <f t="shared" si="44"/>
        <v>0.000777420048613304</v>
      </c>
      <c r="AP114" s="52">
        <f t="shared" si="53"/>
        <v>0.024436659245435078</v>
      </c>
      <c r="AQ114" s="52">
        <f aca="true" t="shared" si="61" ref="AQ114:AQ130">AP106</f>
        <v>0</v>
      </c>
      <c r="AT114" s="39"/>
      <c r="AU114" s="39"/>
    </row>
    <row r="115" spans="3:47" ht="12.75">
      <c r="C115" s="10"/>
      <c r="D115" s="39"/>
      <c r="K115" s="10">
        <f t="shared" si="49"/>
        <v>156</v>
      </c>
      <c r="L115" s="10">
        <f t="shared" si="58"/>
        <v>0.0664388770479651</v>
      </c>
      <c r="M115" s="59">
        <f t="shared" si="42"/>
        <v>2.5806121305428906E-08</v>
      </c>
      <c r="N115" s="39">
        <f t="shared" si="47"/>
        <v>2.979761761270626E-07</v>
      </c>
      <c r="O115" s="39">
        <f t="shared" si="56"/>
        <v>3.4406488479393163E-06</v>
      </c>
      <c r="P115" s="59">
        <f t="shared" si="35"/>
        <v>3.972822474833738E-05</v>
      </c>
      <c r="Q115" s="59">
        <f t="shared" si="40"/>
        <v>0.00045873087064048947</v>
      </c>
      <c r="R115" s="39">
        <f t="shared" si="48"/>
        <v>0.005296835756196211</v>
      </c>
      <c r="S115" s="39">
        <f t="shared" si="57"/>
        <v>0.060639817765234694</v>
      </c>
      <c r="AC115" s="10"/>
      <c r="AD115">
        <v>11</v>
      </c>
      <c r="AE115" s="10">
        <f t="shared" si="54"/>
        <v>120.76666666666667</v>
      </c>
      <c r="AF115" s="10">
        <f aca="true" t="shared" si="62" ref="AF115:AF122">SUM(AG115:AQ115)</f>
        <v>0.16470572586249768</v>
      </c>
      <c r="AG115" s="59">
        <f t="shared" si="46"/>
        <v>5.668065694821031E-16</v>
      </c>
      <c r="AH115" s="39">
        <f t="shared" si="51"/>
        <v>1.8137810223427337E-14</v>
      </c>
      <c r="AI115" s="39">
        <f t="shared" si="59"/>
        <v>5.80409927149669E-13</v>
      </c>
      <c r="AJ115" s="59">
        <f t="shared" si="37"/>
        <v>1.8573117668780682E-11</v>
      </c>
      <c r="AK115" s="59">
        <f t="shared" si="43"/>
        <v>5.943397653854281E-10</v>
      </c>
      <c r="AL115" s="39">
        <f t="shared" si="52"/>
        <v>1.901887246474184E-08</v>
      </c>
      <c r="AM115" s="39">
        <f t="shared" si="60"/>
        <v>6.086038699222391E-07</v>
      </c>
      <c r="AN115" s="39">
        <f t="shared" si="38"/>
        <v>1.947523699829157E-05</v>
      </c>
      <c r="AO115" s="39">
        <f t="shared" si="44"/>
        <v>0.0006230535261889151</v>
      </c>
      <c r="AP115" s="39">
        <f t="shared" si="53"/>
        <v>0.019664405543402885</v>
      </c>
      <c r="AQ115" s="39">
        <f t="shared" si="61"/>
        <v>0.14439816331965322</v>
      </c>
      <c r="AR115" s="10"/>
      <c r="AS115" s="10"/>
      <c r="AT115" s="39"/>
      <c r="AU115" s="39"/>
    </row>
    <row r="116" spans="3:47" ht="12.75">
      <c r="C116" s="10"/>
      <c r="D116" s="39"/>
      <c r="K116" s="10">
        <f t="shared" si="49"/>
        <v>160</v>
      </c>
      <c r="L116" s="10">
        <f t="shared" si="58"/>
        <v>0.044468149105120924</v>
      </c>
      <c r="M116" s="59">
        <f t="shared" si="42"/>
        <v>1.7165097173967795E-08</v>
      </c>
      <c r="N116" s="39">
        <f t="shared" si="47"/>
        <v>1.9820065007879933E-07</v>
      </c>
      <c r="O116" s="39">
        <f t="shared" si="56"/>
        <v>2.2885683252195744E-06</v>
      </c>
      <c r="P116" s="59">
        <f t="shared" si="35"/>
        <v>2.6425468216759206E-05</v>
      </c>
      <c r="Q116" s="59">
        <f t="shared" si="40"/>
        <v>0.0003051276043513076</v>
      </c>
      <c r="R116" s="39">
        <f t="shared" si="48"/>
        <v>0.003523223974585155</v>
      </c>
      <c r="S116" s="39">
        <f t="shared" si="57"/>
        <v>0.04061086812389523</v>
      </c>
      <c r="T116" s="10"/>
      <c r="U116" s="10"/>
      <c r="V116" s="10"/>
      <c r="W116" s="10"/>
      <c r="X116" s="10"/>
      <c r="Y116" s="10"/>
      <c r="Z116" s="10"/>
      <c r="AA116" s="10"/>
      <c r="AB116" s="10"/>
      <c r="AC116" s="96"/>
      <c r="AE116" s="10">
        <f t="shared" si="54"/>
        <v>121.53333333333333</v>
      </c>
      <c r="AF116" s="10">
        <f t="shared" si="62"/>
        <v>0.22157626476569542</v>
      </c>
      <c r="AG116" s="59">
        <f t="shared" si="46"/>
        <v>4.542265499206301E-16</v>
      </c>
      <c r="AH116" s="39">
        <f t="shared" si="51"/>
        <v>1.4535249597460187E-14</v>
      </c>
      <c r="AI116" s="39">
        <f t="shared" si="59"/>
        <v>4.651279871187225E-13</v>
      </c>
      <c r="AJ116" s="59">
        <f t="shared" si="37"/>
        <v>1.4884095587793716E-11</v>
      </c>
      <c r="AK116" s="59">
        <f t="shared" si="43"/>
        <v>4.762910587997546E-10</v>
      </c>
      <c r="AL116" s="39">
        <f t="shared" si="52"/>
        <v>1.524131386448385E-08</v>
      </c>
      <c r="AM116" s="39">
        <f t="shared" si="60"/>
        <v>4.877220133123202E-07</v>
      </c>
      <c r="AN116" s="39">
        <f t="shared" si="38"/>
        <v>1.5607050581291862E-05</v>
      </c>
      <c r="AO116" s="39">
        <f t="shared" si="44"/>
        <v>0.0004993300950114605</v>
      </c>
      <c r="AP116" s="39">
        <f t="shared" si="53"/>
        <v>0.015809098713923043</v>
      </c>
      <c r="AQ116" s="39">
        <f t="shared" si="61"/>
        <v>0.2052517254511972</v>
      </c>
      <c r="AR116" s="96"/>
      <c r="AS116" s="96"/>
      <c r="AT116" s="59"/>
      <c r="AU116" s="39"/>
    </row>
    <row r="117" spans="3:47" ht="12.75">
      <c r="C117" s="10"/>
      <c r="D117" s="39"/>
      <c r="K117" s="10">
        <f t="shared" si="49"/>
        <v>164</v>
      </c>
      <c r="L117" s="10">
        <f t="shared" si="58"/>
        <v>0.02961574893641752</v>
      </c>
      <c r="M117" s="59">
        <f t="shared" si="42"/>
        <v>1.1417467875335932E-08</v>
      </c>
      <c r="N117" s="39">
        <f t="shared" si="47"/>
        <v>1.3183435737126665E-07</v>
      </c>
      <c r="O117" s="39">
        <f t="shared" si="56"/>
        <v>1.5222550195249404E-06</v>
      </c>
      <c r="P117" s="59">
        <f t="shared" si="35"/>
        <v>1.7577059506143006E-05</v>
      </c>
      <c r="Q117" s="59">
        <f t="shared" si="40"/>
        <v>0.00020295746568030947</v>
      </c>
      <c r="R117" s="39">
        <f t="shared" si="48"/>
        <v>0.002343493904465461</v>
      </c>
      <c r="S117" s="39">
        <f t="shared" si="57"/>
        <v>0.027050054999920834</v>
      </c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7" t="s">
        <v>76</v>
      </c>
      <c r="AE117" s="10">
        <f t="shared" si="54"/>
        <v>122.3</v>
      </c>
      <c r="AF117" s="10">
        <f t="shared" si="62"/>
        <v>0.233113444149093</v>
      </c>
      <c r="AG117" s="59">
        <f t="shared" si="46"/>
        <v>3.6400735235182057E-16</v>
      </c>
      <c r="AH117" s="39">
        <f t="shared" si="51"/>
        <v>1.1648235275258284E-14</v>
      </c>
      <c r="AI117" s="39">
        <f t="shared" si="59"/>
        <v>3.7274352880826396E-13</v>
      </c>
      <c r="AJ117" s="59">
        <f t="shared" si="37"/>
        <v>1.192779292186106E-11</v>
      </c>
      <c r="AK117" s="59">
        <f t="shared" si="43"/>
        <v>3.816893734935739E-10</v>
      </c>
      <c r="AL117" s="39">
        <f t="shared" si="52"/>
        <v>1.2214059941186362E-08</v>
      </c>
      <c r="AM117" s="39">
        <f t="shared" si="60"/>
        <v>3.9084989929870954E-07</v>
      </c>
      <c r="AN117" s="39">
        <f t="shared" si="38"/>
        <v>1.2507163391123725E-05</v>
      </c>
      <c r="AO117" s="39">
        <f t="shared" si="44"/>
        <v>0.00040016999906568226</v>
      </c>
      <c r="AP117" s="39">
        <f t="shared" si="53"/>
        <v>0.01270036352867502</v>
      </c>
      <c r="AQ117" s="39">
        <f t="shared" si="61"/>
        <v>0.22</v>
      </c>
      <c r="AR117" s="10"/>
      <c r="AS117" s="10"/>
      <c r="AT117" s="39"/>
      <c r="AU117" s="39"/>
    </row>
    <row r="118" spans="3:47" ht="12.75">
      <c r="C118" s="10"/>
      <c r="D118" s="39"/>
      <c r="J118" s="7" t="s">
        <v>96</v>
      </c>
      <c r="K118" s="48">
        <f t="shared" si="49"/>
        <v>168</v>
      </c>
      <c r="L118" s="48">
        <f t="shared" si="58"/>
        <v>0.019704188050396136</v>
      </c>
      <c r="M118" s="53">
        <f t="shared" si="42"/>
        <v>7.594397594324541E-09</v>
      </c>
      <c r="N118" s="52">
        <f t="shared" si="47"/>
        <v>8.769041764789824E-08</v>
      </c>
      <c r="O118" s="52">
        <f t="shared" si="56"/>
        <v>1.0125371040633229E-06</v>
      </c>
      <c r="P118" s="53">
        <f aca="true" t="shared" si="63" ref="P118:P149">O110</f>
        <v>1.1691487104343986E-05</v>
      </c>
      <c r="Q118" s="53">
        <f t="shared" si="40"/>
        <v>0.00013499838194812528</v>
      </c>
      <c r="R118" s="52">
        <f t="shared" si="48"/>
        <v>0.001558789131765134</v>
      </c>
      <c r="S118" s="52">
        <f t="shared" si="57"/>
        <v>0.017997601227659227</v>
      </c>
      <c r="T118" s="52">
        <f aca="true" t="shared" si="64" ref="T118:T158">S110</f>
        <v>0</v>
      </c>
      <c r="U118" s="10"/>
      <c r="V118" s="10"/>
      <c r="W118" s="10"/>
      <c r="X118" s="10"/>
      <c r="Y118" s="10"/>
      <c r="Z118" s="10"/>
      <c r="AA118" s="10"/>
      <c r="AB118" s="10"/>
      <c r="AC118" s="10"/>
      <c r="AE118" s="10">
        <f t="shared" si="54"/>
        <v>124.24000000000001</v>
      </c>
      <c r="AF118" s="10">
        <f t="shared" si="62"/>
        <v>0.18490997223090375</v>
      </c>
      <c r="AG118" s="59">
        <f t="shared" si="46"/>
        <v>2.07863184250144E-16</v>
      </c>
      <c r="AH118" s="39">
        <f t="shared" si="51"/>
        <v>6.651621896004623E-15</v>
      </c>
      <c r="AI118" s="39">
        <f t="shared" si="59"/>
        <v>2.1285190067214635E-13</v>
      </c>
      <c r="AJ118" s="59">
        <f t="shared" si="37"/>
        <v>6.811260821507692E-12</v>
      </c>
      <c r="AK118" s="59">
        <f t="shared" si="43"/>
        <v>2.179603462864618E-10</v>
      </c>
      <c r="AL118" s="39">
        <f t="shared" si="52"/>
        <v>6.97473107800171E-09</v>
      </c>
      <c r="AM118" s="39">
        <f t="shared" si="60"/>
        <v>2.2319138888101782E-07</v>
      </c>
      <c r="AN118" s="39">
        <f t="shared" si="38"/>
        <v>7.142114482794934E-06</v>
      </c>
      <c r="AO118" s="39">
        <f t="shared" si="44"/>
        <v>0.00022852999135876913</v>
      </c>
      <c r="AP118" s="39">
        <f t="shared" si="53"/>
        <v>0.007281608421192037</v>
      </c>
      <c r="AQ118" s="39">
        <f t="shared" si="61"/>
        <v>0.17739246131275888</v>
      </c>
      <c r="AR118" s="10"/>
      <c r="AS118" s="10"/>
      <c r="AT118" s="39"/>
      <c r="AU118" s="39"/>
    </row>
    <row r="119" spans="3:47" ht="12.75">
      <c r="C119" s="10"/>
      <c r="D119" s="39"/>
      <c r="J119">
        <v>8</v>
      </c>
      <c r="K119" s="10">
        <f t="shared" si="49"/>
        <v>169.33333333333331</v>
      </c>
      <c r="L119" s="10">
        <f aca="true" t="shared" si="65" ref="L119:L126">SUM(M119:T119)</f>
        <v>0.09177438645777727</v>
      </c>
      <c r="M119" s="59">
        <f t="shared" si="42"/>
        <v>6.629302565614705E-09</v>
      </c>
      <c r="N119" s="39">
        <f t="shared" si="47"/>
        <v>7.654673112288388E-08</v>
      </c>
      <c r="O119" s="39">
        <f t="shared" si="56"/>
        <v>8.838640245492798E-07</v>
      </c>
      <c r="P119" s="59">
        <f t="shared" si="63"/>
        <v>1.020573448967182E-05</v>
      </c>
      <c r="Q119" s="59">
        <f t="shared" si="40"/>
        <v>0.00011784280565867294</v>
      </c>
      <c r="R119" s="39">
        <f t="shared" si="48"/>
        <v>0.0013606984207158567</v>
      </c>
      <c r="S119" s="39">
        <f t="shared" si="57"/>
        <v>0.01571093771105571</v>
      </c>
      <c r="T119" s="39">
        <f t="shared" si="64"/>
        <v>0.07457373474579912</v>
      </c>
      <c r="U119" s="10"/>
      <c r="V119" s="10"/>
      <c r="W119" s="10"/>
      <c r="X119" s="10"/>
      <c r="Y119" s="10"/>
      <c r="Z119" s="10"/>
      <c r="AA119" s="10"/>
      <c r="AB119" s="10"/>
      <c r="AC119" s="10"/>
      <c r="AE119" s="10">
        <f t="shared" si="54"/>
        <v>126.18</v>
      </c>
      <c r="AF119" s="10">
        <f t="shared" si="62"/>
        <v>0.1210443891676783</v>
      </c>
      <c r="AG119" s="59">
        <f t="shared" si="46"/>
        <v>1.1869843586249537E-16</v>
      </c>
      <c r="AH119" s="39">
        <f t="shared" si="51"/>
        <v>3.798349947599833E-15</v>
      </c>
      <c r="AI119" s="39">
        <f t="shared" si="59"/>
        <v>1.2154719832319476E-13</v>
      </c>
      <c r="AJ119" s="59">
        <f t="shared" si="37"/>
        <v>3.889510346341941E-12</v>
      </c>
      <c r="AK119" s="59">
        <f t="shared" si="43"/>
        <v>1.244643310824096E-10</v>
      </c>
      <c r="AL119" s="39">
        <f t="shared" si="52"/>
        <v>3.9828585936927474E-09</v>
      </c>
      <c r="AM119" s="39">
        <f t="shared" si="60"/>
        <v>1.2745147332282884E-07</v>
      </c>
      <c r="AN119" s="39">
        <f t="shared" si="38"/>
        <v>4.07844417418201E-06</v>
      </c>
      <c r="AO119" s="39">
        <f t="shared" si="44"/>
        <v>0.00013050494081192748</v>
      </c>
      <c r="AP119" s="39">
        <f t="shared" si="53"/>
        <v>0.004166803923999085</v>
      </c>
      <c r="AQ119" s="39">
        <f t="shared" si="61"/>
        <v>0.11674287029588189</v>
      </c>
      <c r="AR119" s="10"/>
      <c r="AS119" s="10"/>
      <c r="AT119" s="39"/>
      <c r="AU119" s="39"/>
    </row>
    <row r="120" spans="3:47" ht="12.75">
      <c r="C120" s="10"/>
      <c r="D120" s="39"/>
      <c r="K120" s="10">
        <f t="shared" si="49"/>
        <v>170.66666666666669</v>
      </c>
      <c r="L120" s="10">
        <f t="shared" si="65"/>
        <v>0.11845005526568521</v>
      </c>
      <c r="M120" s="59">
        <f t="shared" si="42"/>
        <v>5.786851683839733E-09</v>
      </c>
      <c r="N120" s="39">
        <f t="shared" si="47"/>
        <v>6.681918278832002E-08</v>
      </c>
      <c r="O120" s="39">
        <f t="shared" si="56"/>
        <v>7.715427027389133E-07</v>
      </c>
      <c r="P120" s="59">
        <f t="shared" si="63"/>
        <v>8.908791118195483E-06</v>
      </c>
      <c r="Q120" s="59">
        <f t="shared" si="40"/>
        <v>0.00010286735770539124</v>
      </c>
      <c r="R120" s="39">
        <f t="shared" si="48"/>
        <v>0.0011877810492497997</v>
      </c>
      <c r="S120" s="39">
        <f t="shared" si="57"/>
        <v>0.013714635084436853</v>
      </c>
      <c r="T120" s="39">
        <f t="shared" si="64"/>
        <v>0.10343501883443776</v>
      </c>
      <c r="U120" s="10"/>
      <c r="V120" s="10"/>
      <c r="W120" s="10"/>
      <c r="X120" s="10"/>
      <c r="Y120" s="10"/>
      <c r="Z120" s="10"/>
      <c r="AA120" s="10"/>
      <c r="AB120" s="10"/>
      <c r="AC120" s="10"/>
      <c r="AE120" s="10">
        <f t="shared" si="54"/>
        <v>128.12</v>
      </c>
      <c r="AF120" s="10">
        <f t="shared" si="62"/>
        <v>0.0737320432986398</v>
      </c>
      <c r="AG120" s="59">
        <f t="shared" si="46"/>
        <v>6.778169365118423E-17</v>
      </c>
      <c r="AH120" s="39">
        <f t="shared" si="51"/>
        <v>2.1690141968378847E-15</v>
      </c>
      <c r="AI120" s="39">
        <f t="shared" si="59"/>
        <v>6.940845429881241E-14</v>
      </c>
      <c r="AJ120" s="59">
        <f t="shared" si="37"/>
        <v>2.2210705375619047E-12</v>
      </c>
      <c r="AK120" s="59">
        <f t="shared" si="43"/>
        <v>7.107425720182229E-11</v>
      </c>
      <c r="AL120" s="39">
        <f t="shared" si="52"/>
        <v>2.2743762301765457E-09</v>
      </c>
      <c r="AM120" s="39">
        <f t="shared" si="60"/>
        <v>7.278003886578424E-08</v>
      </c>
      <c r="AN120" s="39">
        <f t="shared" si="38"/>
        <v>2.328960356915203E-06</v>
      </c>
      <c r="AO120" s="39">
        <f t="shared" si="44"/>
        <v>7.452515820516043E-05</v>
      </c>
      <c r="AP120" s="39">
        <f t="shared" si="53"/>
        <v>0.0023820140869380887</v>
      </c>
      <c r="AQ120" s="39">
        <f t="shared" si="61"/>
        <v>0.07127309996535758</v>
      </c>
      <c r="AR120" s="10"/>
      <c r="AS120" s="10"/>
      <c r="AT120" s="39"/>
      <c r="AU120" s="39"/>
    </row>
    <row r="121" spans="3:47" ht="12.75">
      <c r="C121" s="10"/>
      <c r="D121" s="39"/>
      <c r="J121" s="7" t="s">
        <v>76</v>
      </c>
      <c r="K121" s="10">
        <f t="shared" si="49"/>
        <v>172</v>
      </c>
      <c r="L121" s="10">
        <f t="shared" si="65"/>
        <v>0.1231070516310717</v>
      </c>
      <c r="M121" s="59">
        <f t="shared" si="42"/>
        <v>5.051459347240374E-09</v>
      </c>
      <c r="N121" s="39">
        <f t="shared" si="47"/>
        <v>5.8327809992714217E-08</v>
      </c>
      <c r="O121" s="39">
        <f t="shared" si="56"/>
        <v>6.734951594542226E-07</v>
      </c>
      <c r="P121" s="59">
        <f t="shared" si="63"/>
        <v>7.776663136588323E-06</v>
      </c>
      <c r="Q121" s="59">
        <f t="shared" si="40"/>
        <v>8.979498767144078E-05</v>
      </c>
      <c r="R121" s="39">
        <f t="shared" si="48"/>
        <v>0.0010368379934428218</v>
      </c>
      <c r="S121" s="39">
        <f t="shared" si="57"/>
        <v>0.011971905112392059</v>
      </c>
      <c r="T121" s="39">
        <f t="shared" si="64"/>
        <v>0.11</v>
      </c>
      <c r="U121" s="10"/>
      <c r="V121" s="10"/>
      <c r="W121" s="10"/>
      <c r="X121" s="10"/>
      <c r="Y121" s="10"/>
      <c r="Z121" s="10"/>
      <c r="AA121" s="10"/>
      <c r="AB121" s="10"/>
      <c r="AC121" s="10"/>
      <c r="AE121" s="10">
        <f t="shared" si="54"/>
        <v>130.06</v>
      </c>
      <c r="AF121" s="10">
        <f t="shared" si="62"/>
        <v>0.043479715300436796</v>
      </c>
      <c r="AG121" s="59">
        <f t="shared" si="46"/>
        <v>3.870613762379533E-17</v>
      </c>
      <c r="AH121" s="39">
        <f t="shared" si="51"/>
        <v>1.2385964039614444E-15</v>
      </c>
      <c r="AI121" s="39">
        <f t="shared" si="59"/>
        <v>3.96350849267663E-14</v>
      </c>
      <c r="AJ121" s="59">
        <f t="shared" si="37"/>
        <v>1.268322717656493E-12</v>
      </c>
      <c r="AK121" s="59">
        <f t="shared" si="43"/>
        <v>4.058632696496048E-11</v>
      </c>
      <c r="AL121" s="39">
        <f t="shared" si="52"/>
        <v>1.2987624627946648E-09</v>
      </c>
      <c r="AM121" s="39">
        <f t="shared" si="60"/>
        <v>4.156039866028606E-08</v>
      </c>
      <c r="AN121" s="39">
        <f t="shared" si="38"/>
        <v>1.3299324925406547E-06</v>
      </c>
      <c r="AO121" s="39">
        <f t="shared" si="44"/>
        <v>4.255737036612861E-05</v>
      </c>
      <c r="AP121" s="39">
        <f t="shared" si="53"/>
        <v>0.0013610031177619085</v>
      </c>
      <c r="AQ121" s="39">
        <f t="shared" si="61"/>
        <v>0.04207478197875953</v>
      </c>
      <c r="AR121" s="10"/>
      <c r="AS121" s="10"/>
      <c r="AT121" s="39"/>
      <c r="AU121" s="39"/>
    </row>
    <row r="122" spans="3:47" ht="12.75">
      <c r="C122" s="10"/>
      <c r="D122" s="39"/>
      <c r="K122" s="10">
        <f t="shared" si="49"/>
        <v>176</v>
      </c>
      <c r="L122" s="10">
        <f t="shared" si="65"/>
        <v>0.09683155809073207</v>
      </c>
      <c r="M122" s="59">
        <f t="shared" si="42"/>
        <v>3.360008640565741E-09</v>
      </c>
      <c r="N122" s="39">
        <f t="shared" si="47"/>
        <v>3.879709448079832E-08</v>
      </c>
      <c r="O122" s="39">
        <f t="shared" si="56"/>
        <v>4.479793658800096E-07</v>
      </c>
      <c r="P122" s="59">
        <f t="shared" si="63"/>
        <v>5.172694371574138E-06</v>
      </c>
      <c r="Q122" s="59">
        <f t="shared" si="40"/>
        <v>5.9727677432538457E-05</v>
      </c>
      <c r="R122" s="39">
        <f t="shared" si="48"/>
        <v>0.0006896590431292147</v>
      </c>
      <c r="S122" s="39">
        <f t="shared" si="57"/>
        <v>0.007963278909559229</v>
      </c>
      <c r="T122" s="39">
        <f t="shared" si="64"/>
        <v>0.08811322962977051</v>
      </c>
      <c r="U122" s="10"/>
      <c r="V122" s="10"/>
      <c r="W122" s="10"/>
      <c r="X122" s="10"/>
      <c r="Y122" s="10"/>
      <c r="Z122" s="10"/>
      <c r="AA122" s="10"/>
      <c r="AB122" s="10"/>
      <c r="AC122" s="52"/>
      <c r="AD122" s="7" t="s">
        <v>96</v>
      </c>
      <c r="AE122" s="95">
        <f t="shared" si="54"/>
        <v>132</v>
      </c>
      <c r="AF122" s="48">
        <f t="shared" si="62"/>
        <v>0.025239165379492137</v>
      </c>
      <c r="AG122" s="53">
        <f t="shared" si="46"/>
        <v>2.210279810153429E-17</v>
      </c>
      <c r="AH122" s="52">
        <f t="shared" si="51"/>
        <v>7.072895392490989E-16</v>
      </c>
      <c r="AI122" s="52">
        <f t="shared" si="59"/>
        <v>2.2633265255971208E-14</v>
      </c>
      <c r="AJ122" s="53">
        <f aca="true" t="shared" si="66" ref="AJ122:AJ130">AI114</f>
        <v>7.242644881910698E-13</v>
      </c>
      <c r="AK122" s="53">
        <f t="shared" si="43"/>
        <v>2.317646362210006E-11</v>
      </c>
      <c r="AL122" s="52">
        <f t="shared" si="52"/>
        <v>7.416468358821203E-10</v>
      </c>
      <c r="AM122" s="52">
        <f t="shared" si="60"/>
        <v>2.373269870372848E-08</v>
      </c>
      <c r="AN122" s="52">
        <f t="shared" si="38"/>
        <v>7.594462795749361E-07</v>
      </c>
      <c r="AO122" s="52">
        <f t="shared" si="44"/>
        <v>2.430214089454865E-05</v>
      </c>
      <c r="AP122" s="52">
        <f t="shared" si="53"/>
        <v>0.000777420048613304</v>
      </c>
      <c r="AQ122" s="52">
        <f t="shared" si="61"/>
        <v>0.024436659245435078</v>
      </c>
      <c r="AR122" s="52">
        <f aca="true" t="shared" si="67" ref="AR122:AR130">AQ114</f>
        <v>0</v>
      </c>
      <c r="AS122" s="10"/>
      <c r="AT122" s="39"/>
      <c r="AU122" s="39"/>
    </row>
    <row r="123" spans="3:47" ht="12.75">
      <c r="C123" s="10"/>
      <c r="D123" s="39"/>
      <c r="K123" s="10">
        <f t="shared" si="49"/>
        <v>180</v>
      </c>
      <c r="L123" s="10">
        <f t="shared" si="65"/>
        <v>0.0664388792828951</v>
      </c>
      <c r="M123" s="59">
        <f t="shared" si="42"/>
        <v>2.2349300050972427E-09</v>
      </c>
      <c r="N123" s="39">
        <f t="shared" si="47"/>
        <v>2.5806121305428906E-08</v>
      </c>
      <c r="O123" s="39">
        <f t="shared" si="56"/>
        <v>2.979761761270626E-07</v>
      </c>
      <c r="P123" s="59">
        <f t="shared" si="63"/>
        <v>3.4406488479393163E-06</v>
      </c>
      <c r="Q123" s="59">
        <f t="shared" si="40"/>
        <v>3.972822474833738E-05</v>
      </c>
      <c r="R123" s="39">
        <f t="shared" si="48"/>
        <v>0.00045873087064048947</v>
      </c>
      <c r="S123" s="39">
        <f t="shared" si="57"/>
        <v>0.005296835756196211</v>
      </c>
      <c r="T123" s="39">
        <f t="shared" si="64"/>
        <v>0.060639817765234694</v>
      </c>
      <c r="U123" s="10"/>
      <c r="V123" s="10"/>
      <c r="W123" s="10"/>
      <c r="X123" s="10"/>
      <c r="Y123" s="10"/>
      <c r="Z123" s="10"/>
      <c r="AA123" s="10"/>
      <c r="AB123" s="10"/>
      <c r="AC123" s="83"/>
      <c r="AD123">
        <v>12</v>
      </c>
      <c r="AE123" s="10">
        <f t="shared" si="54"/>
        <v>132.76666666666665</v>
      </c>
      <c r="AF123" s="10">
        <f aca="true" t="shared" si="68" ref="AF123:AF130">SUM(AG123:AR123)</f>
        <v>0.1647057258624977</v>
      </c>
      <c r="AG123" s="59">
        <f t="shared" si="46"/>
        <v>1.771270529631581E-17</v>
      </c>
      <c r="AH123" s="39">
        <f t="shared" si="51"/>
        <v>5.668065694821031E-16</v>
      </c>
      <c r="AI123" s="39">
        <f t="shared" si="59"/>
        <v>1.8137810223427337E-14</v>
      </c>
      <c r="AJ123" s="59">
        <f t="shared" si="66"/>
        <v>5.80409927149669E-13</v>
      </c>
      <c r="AK123" s="59">
        <f t="shared" si="43"/>
        <v>1.8573117668780682E-11</v>
      </c>
      <c r="AL123" s="39">
        <f t="shared" si="52"/>
        <v>5.943397653854281E-10</v>
      </c>
      <c r="AM123" s="39">
        <f t="shared" si="60"/>
        <v>1.901887246474184E-08</v>
      </c>
      <c r="AN123" s="39">
        <f t="shared" si="38"/>
        <v>6.086038699222391E-07</v>
      </c>
      <c r="AO123" s="39">
        <f t="shared" si="44"/>
        <v>1.947523699829157E-05</v>
      </c>
      <c r="AP123" s="39">
        <f t="shared" si="53"/>
        <v>0.0006230535261889151</v>
      </c>
      <c r="AQ123" s="39">
        <f t="shared" si="61"/>
        <v>0.019664405543402885</v>
      </c>
      <c r="AR123" s="83">
        <f t="shared" si="67"/>
        <v>0.14439816331965322</v>
      </c>
      <c r="AS123" s="10"/>
      <c r="AT123" s="39"/>
      <c r="AU123" s="39"/>
    </row>
    <row r="124" spans="3:47" ht="12.75">
      <c r="C124" s="10"/>
      <c r="D124" s="39"/>
      <c r="K124" s="10">
        <f t="shared" si="49"/>
        <v>184</v>
      </c>
      <c r="L124" s="10">
        <f t="shared" si="65"/>
        <v>0.04446815059169809</v>
      </c>
      <c r="M124" s="59">
        <f t="shared" si="42"/>
        <v>1.486577167504826E-09</v>
      </c>
      <c r="N124" s="39">
        <f t="shared" si="47"/>
        <v>1.7165097173967795E-08</v>
      </c>
      <c r="O124" s="39">
        <f t="shared" si="56"/>
        <v>1.9820065007879933E-07</v>
      </c>
      <c r="P124" s="59">
        <f t="shared" si="63"/>
        <v>2.2885683252195744E-06</v>
      </c>
      <c r="Q124" s="59">
        <f t="shared" si="40"/>
        <v>2.6425468216759206E-05</v>
      </c>
      <c r="R124" s="39">
        <f t="shared" si="48"/>
        <v>0.0003051276043513076</v>
      </c>
      <c r="S124" s="39">
        <f t="shared" si="57"/>
        <v>0.003523223974585155</v>
      </c>
      <c r="T124" s="39">
        <f t="shared" si="64"/>
        <v>0.04061086812389523</v>
      </c>
      <c r="U124" s="10"/>
      <c r="V124" s="10"/>
      <c r="W124" s="10"/>
      <c r="X124" s="10"/>
      <c r="Y124" s="10"/>
      <c r="Z124" s="10"/>
      <c r="AA124" s="10"/>
      <c r="AB124" s="10"/>
      <c r="AC124" s="83"/>
      <c r="AE124" s="10">
        <f t="shared" si="54"/>
        <v>133.53333333333333</v>
      </c>
      <c r="AF124" s="10">
        <f t="shared" si="68"/>
        <v>0.22157626476569545</v>
      </c>
      <c r="AG124" s="59">
        <f t="shared" si="46"/>
        <v>1.4194579685019757E-17</v>
      </c>
      <c r="AH124" s="39">
        <f t="shared" si="51"/>
        <v>4.542265499206301E-16</v>
      </c>
      <c r="AI124" s="39">
        <f t="shared" si="59"/>
        <v>1.4535249597460187E-14</v>
      </c>
      <c r="AJ124" s="59">
        <f t="shared" si="66"/>
        <v>4.651279871187225E-13</v>
      </c>
      <c r="AK124" s="59">
        <f t="shared" si="43"/>
        <v>1.4884095587793716E-11</v>
      </c>
      <c r="AL124" s="39">
        <f t="shared" si="52"/>
        <v>4.762910587997546E-10</v>
      </c>
      <c r="AM124" s="39">
        <f t="shared" si="60"/>
        <v>1.524131386448385E-08</v>
      </c>
      <c r="AN124" s="39">
        <f t="shared" si="38"/>
        <v>4.877220133123202E-07</v>
      </c>
      <c r="AO124" s="39">
        <f t="shared" si="44"/>
        <v>1.5607050581291862E-05</v>
      </c>
      <c r="AP124" s="39">
        <f t="shared" si="53"/>
        <v>0.0004993300950114605</v>
      </c>
      <c r="AQ124" s="39">
        <f t="shared" si="61"/>
        <v>0.015809098713923043</v>
      </c>
      <c r="AR124" s="83">
        <f t="shared" si="67"/>
        <v>0.2052517254511972</v>
      </c>
      <c r="AS124" s="10"/>
      <c r="AT124" s="39"/>
      <c r="AU124" s="39"/>
    </row>
    <row r="125" spans="3:46" ht="12.75">
      <c r="C125" s="10"/>
      <c r="D125" s="39"/>
      <c r="K125" s="10">
        <f t="shared" si="49"/>
        <v>188</v>
      </c>
      <c r="L125" s="10">
        <f t="shared" si="65"/>
        <v>0.029615749925223284</v>
      </c>
      <c r="M125" s="59">
        <f t="shared" si="42"/>
        <v>9.888057656868398E-10</v>
      </c>
      <c r="N125" s="39">
        <f t="shared" si="47"/>
        <v>1.1417467875335932E-08</v>
      </c>
      <c r="O125" s="39">
        <f t="shared" si="56"/>
        <v>1.3183435737126665E-07</v>
      </c>
      <c r="P125" s="59">
        <f t="shared" si="63"/>
        <v>1.5222550195249404E-06</v>
      </c>
      <c r="Q125" s="59">
        <f t="shared" si="40"/>
        <v>1.7577059506143006E-05</v>
      </c>
      <c r="R125" s="39">
        <f t="shared" si="48"/>
        <v>0.00020295746568030947</v>
      </c>
      <c r="S125" s="39">
        <f t="shared" si="57"/>
        <v>0.002343493904465461</v>
      </c>
      <c r="T125" s="39">
        <f t="shared" si="64"/>
        <v>0.027050054999920834</v>
      </c>
      <c r="U125" s="10"/>
      <c r="V125" s="10"/>
      <c r="W125" s="10"/>
      <c r="X125" s="10"/>
      <c r="Y125" s="10"/>
      <c r="Z125" s="10"/>
      <c r="AA125" s="10"/>
      <c r="AB125" s="10"/>
      <c r="AC125" s="83"/>
      <c r="AD125" s="7" t="s">
        <v>76</v>
      </c>
      <c r="AE125" s="10">
        <f>AE122+D19</f>
        <v>134.20634670391416</v>
      </c>
      <c r="AF125" s="39">
        <f t="shared" si="68"/>
        <v>0.233113444149093</v>
      </c>
      <c r="AG125" s="59">
        <f t="shared" si="46"/>
        <v>1.1687107322281097E-17</v>
      </c>
      <c r="AH125" s="39">
        <f t="shared" si="51"/>
        <v>3.6400735235182057E-16</v>
      </c>
      <c r="AI125" s="39">
        <f t="shared" si="59"/>
        <v>1.1648235275258284E-14</v>
      </c>
      <c r="AJ125" s="59">
        <f t="shared" si="66"/>
        <v>3.7274352880826396E-13</v>
      </c>
      <c r="AK125" s="59">
        <f t="shared" si="43"/>
        <v>1.192779292186106E-11</v>
      </c>
      <c r="AL125" s="39">
        <f t="shared" si="52"/>
        <v>3.816893734935739E-10</v>
      </c>
      <c r="AM125" s="39">
        <f t="shared" si="60"/>
        <v>1.2214059941186362E-08</v>
      </c>
      <c r="AN125" s="39">
        <f t="shared" si="38"/>
        <v>3.9084989929870954E-07</v>
      </c>
      <c r="AO125" s="39">
        <f t="shared" si="44"/>
        <v>1.2507163391123725E-05</v>
      </c>
      <c r="AP125" s="39">
        <f t="shared" si="53"/>
        <v>0.00040016999906568226</v>
      </c>
      <c r="AQ125" s="39">
        <f t="shared" si="61"/>
        <v>0.01270036352867502</v>
      </c>
      <c r="AR125" s="83">
        <f t="shared" si="67"/>
        <v>0.22</v>
      </c>
      <c r="AT125" s="39"/>
    </row>
    <row r="126" spans="3:46" ht="12.75">
      <c r="C126" s="10"/>
      <c r="D126" s="39"/>
      <c r="J126" s="7" t="s">
        <v>96</v>
      </c>
      <c r="K126" s="48">
        <f t="shared" si="49"/>
        <v>192</v>
      </c>
      <c r="L126" s="48">
        <f t="shared" si="65"/>
        <v>0.01970418870810625</v>
      </c>
      <c r="M126" s="53">
        <f t="shared" si="42"/>
        <v>6.577101166545149E-10</v>
      </c>
      <c r="N126" s="52">
        <f t="shared" si="47"/>
        <v>7.594397594324541E-09</v>
      </c>
      <c r="O126" s="52">
        <f t="shared" si="56"/>
        <v>8.769041764789824E-08</v>
      </c>
      <c r="P126" s="53">
        <f t="shared" si="63"/>
        <v>1.0125371040633229E-06</v>
      </c>
      <c r="Q126" s="53">
        <f aca="true" t="shared" si="69" ref="Q126:Q157">P118</f>
        <v>1.1691487104343986E-05</v>
      </c>
      <c r="R126" s="52">
        <f t="shared" si="48"/>
        <v>0.00013499838194812528</v>
      </c>
      <c r="S126" s="52">
        <f t="shared" si="57"/>
        <v>0.001558789131765134</v>
      </c>
      <c r="T126" s="52">
        <f t="shared" si="64"/>
        <v>0.017997601227659227</v>
      </c>
      <c r="U126" s="52">
        <f aca="true" t="shared" si="70" ref="U126:U158">T118</f>
        <v>0</v>
      </c>
      <c r="V126" s="10"/>
      <c r="W126" s="10"/>
      <c r="X126" s="10"/>
      <c r="Y126" s="10"/>
      <c r="Z126" s="10"/>
      <c r="AA126" s="10"/>
      <c r="AB126" s="10"/>
      <c r="AC126" s="83"/>
      <c r="AE126" s="10">
        <f>AE118+D$11</f>
        <v>136.24</v>
      </c>
      <c r="AF126" s="10">
        <f t="shared" si="68"/>
        <v>0.18490997223090377</v>
      </c>
      <c r="AG126" s="59">
        <f t="shared" si="46"/>
        <v>6.495724507816986E-18</v>
      </c>
      <c r="AH126" s="39">
        <f t="shared" si="51"/>
        <v>2.07863184250144E-16</v>
      </c>
      <c r="AI126" s="39">
        <f t="shared" si="59"/>
        <v>6.651621896004623E-15</v>
      </c>
      <c r="AJ126" s="59">
        <f t="shared" si="66"/>
        <v>2.1285190067214635E-13</v>
      </c>
      <c r="AK126" s="59">
        <f t="shared" si="43"/>
        <v>6.811260821507692E-12</v>
      </c>
      <c r="AL126" s="39">
        <f t="shared" si="52"/>
        <v>2.179603462864618E-10</v>
      </c>
      <c r="AM126" s="39">
        <f t="shared" si="60"/>
        <v>6.97473107800171E-09</v>
      </c>
      <c r="AN126" s="39">
        <f t="shared" si="38"/>
        <v>2.2319138888101782E-07</v>
      </c>
      <c r="AO126" s="39">
        <f t="shared" si="44"/>
        <v>7.142114482794934E-06</v>
      </c>
      <c r="AP126" s="39">
        <f t="shared" si="53"/>
        <v>0.00022852999135876913</v>
      </c>
      <c r="AQ126" s="39">
        <f t="shared" si="61"/>
        <v>0.007281608421192037</v>
      </c>
      <c r="AR126" s="83">
        <f t="shared" si="67"/>
        <v>0.17739246131275888</v>
      </c>
      <c r="AT126" s="39"/>
    </row>
    <row r="127" spans="3:46" ht="12.75">
      <c r="C127" s="10"/>
      <c r="D127" s="39"/>
      <c r="J127">
        <v>9</v>
      </c>
      <c r="K127" s="10">
        <f t="shared" si="49"/>
        <v>193.33333333333331</v>
      </c>
      <c r="L127" s="10">
        <f aca="true" t="shared" si="71" ref="L127:L134">SUM(M127:U127)</f>
        <v>0.09177438703190567</v>
      </c>
      <c r="M127" s="59">
        <f aca="true" t="shared" si="72" ref="M127:M158">C$23*(EXP(-C$21*K127)-EXP(-C$22*K127))</f>
        <v>5.741284031569487E-10</v>
      </c>
      <c r="N127" s="39">
        <f t="shared" si="47"/>
        <v>6.629302565614705E-09</v>
      </c>
      <c r="O127" s="39">
        <f t="shared" si="56"/>
        <v>7.654673112288388E-08</v>
      </c>
      <c r="P127" s="59">
        <f t="shared" si="63"/>
        <v>8.838640245492798E-07</v>
      </c>
      <c r="Q127" s="59">
        <f t="shared" si="69"/>
        <v>1.020573448967182E-05</v>
      </c>
      <c r="R127" s="39">
        <f t="shared" si="48"/>
        <v>0.00011784280565867294</v>
      </c>
      <c r="S127" s="39">
        <f t="shared" si="57"/>
        <v>0.0013606984207158567</v>
      </c>
      <c r="T127" s="39">
        <f t="shared" si="64"/>
        <v>0.01571093771105571</v>
      </c>
      <c r="U127" s="39">
        <f t="shared" si="70"/>
        <v>0.07457373474579912</v>
      </c>
      <c r="AC127" s="83"/>
      <c r="AE127" s="10">
        <f>AE119+D$11</f>
        <v>138.18</v>
      </c>
      <c r="AF127" s="10">
        <f t="shared" si="68"/>
        <v>0.1210443891676783</v>
      </c>
      <c r="AG127" s="59">
        <f t="shared" si="46"/>
        <v>3.709326120702972E-18</v>
      </c>
      <c r="AH127" s="39">
        <f t="shared" si="51"/>
        <v>1.1869843586249537E-16</v>
      </c>
      <c r="AI127" s="39">
        <f t="shared" si="59"/>
        <v>3.798349947599833E-15</v>
      </c>
      <c r="AJ127" s="59">
        <f t="shared" si="66"/>
        <v>1.2154719832319476E-13</v>
      </c>
      <c r="AK127" s="59">
        <f t="shared" si="43"/>
        <v>3.889510346341941E-12</v>
      </c>
      <c r="AL127" s="39">
        <f t="shared" si="52"/>
        <v>1.244643310824096E-10</v>
      </c>
      <c r="AM127" s="39">
        <f t="shared" si="60"/>
        <v>3.9828585936927474E-09</v>
      </c>
      <c r="AN127" s="39">
        <f t="shared" si="38"/>
        <v>1.2745147332282884E-07</v>
      </c>
      <c r="AO127" s="39">
        <f t="shared" si="44"/>
        <v>4.07844417418201E-06</v>
      </c>
      <c r="AP127" s="39">
        <f t="shared" si="53"/>
        <v>0.00013050494081192748</v>
      </c>
      <c r="AQ127" s="39">
        <f t="shared" si="61"/>
        <v>0.004166803923999085</v>
      </c>
      <c r="AR127" s="83">
        <f t="shared" si="67"/>
        <v>0.11674287029588189</v>
      </c>
      <c r="AT127" s="39"/>
    </row>
    <row r="128" spans="3:46" ht="12.75">
      <c r="C128" s="10"/>
      <c r="D128" s="39"/>
      <c r="K128" s="10">
        <f t="shared" si="49"/>
        <v>194.66666666666669</v>
      </c>
      <c r="L128" s="10">
        <f t="shared" si="71"/>
        <v>0.11845005576685345</v>
      </c>
      <c r="M128" s="59">
        <f t="shared" si="72"/>
        <v>5.011682426114963E-10</v>
      </c>
      <c r="N128" s="39">
        <f t="shared" si="47"/>
        <v>5.786851683839733E-09</v>
      </c>
      <c r="O128" s="39">
        <f t="shared" si="56"/>
        <v>6.681918278832002E-08</v>
      </c>
      <c r="P128" s="59">
        <f t="shared" si="63"/>
        <v>7.715427027389133E-07</v>
      </c>
      <c r="Q128" s="59">
        <f t="shared" si="69"/>
        <v>8.908791118195483E-06</v>
      </c>
      <c r="R128" s="39">
        <f t="shared" si="48"/>
        <v>0.00010286735770539124</v>
      </c>
      <c r="S128" s="39">
        <f t="shared" si="57"/>
        <v>0.0011877810492497997</v>
      </c>
      <c r="T128" s="39">
        <f t="shared" si="64"/>
        <v>0.013714635084436853</v>
      </c>
      <c r="U128" s="39">
        <f t="shared" si="70"/>
        <v>0.10343501883443776</v>
      </c>
      <c r="AC128" s="83"/>
      <c r="AE128" s="10">
        <f>AE120+D$11</f>
        <v>140.12</v>
      </c>
      <c r="AF128" s="10">
        <f t="shared" si="68"/>
        <v>0.07373204329863982</v>
      </c>
      <c r="AG128" s="59">
        <f t="shared" si="46"/>
        <v>2.1181779265995026E-18</v>
      </c>
      <c r="AH128" s="39">
        <f t="shared" si="51"/>
        <v>6.778169365118423E-17</v>
      </c>
      <c r="AI128" s="39">
        <f t="shared" si="59"/>
        <v>2.1690141968378847E-15</v>
      </c>
      <c r="AJ128" s="59">
        <f t="shared" si="66"/>
        <v>6.940845429881241E-14</v>
      </c>
      <c r="AK128" s="59">
        <f t="shared" si="43"/>
        <v>2.2210705375619047E-12</v>
      </c>
      <c r="AL128" s="39">
        <f t="shared" si="52"/>
        <v>7.107425720182229E-11</v>
      </c>
      <c r="AM128" s="39">
        <f t="shared" si="60"/>
        <v>2.2743762301765457E-09</v>
      </c>
      <c r="AN128" s="39">
        <f t="shared" si="38"/>
        <v>7.278003886578424E-08</v>
      </c>
      <c r="AO128" s="39">
        <f t="shared" si="44"/>
        <v>2.328960356915203E-06</v>
      </c>
      <c r="AP128" s="39">
        <f t="shared" si="53"/>
        <v>7.452515820516043E-05</v>
      </c>
      <c r="AQ128" s="39">
        <f t="shared" si="61"/>
        <v>0.0023820140869380887</v>
      </c>
      <c r="AR128" s="83">
        <f t="shared" si="67"/>
        <v>0.07127309996535758</v>
      </c>
      <c r="AT128" s="39"/>
    </row>
    <row r="129" spans="3:46" ht="12.75">
      <c r="C129" s="10"/>
      <c r="D129" s="39"/>
      <c r="J129" s="7" t="s">
        <v>76</v>
      </c>
      <c r="K129" s="10">
        <f t="shared" si="49"/>
        <v>196</v>
      </c>
      <c r="L129" s="10">
        <f t="shared" si="71"/>
        <v>0.12310705206855155</v>
      </c>
      <c r="M129" s="59">
        <f t="shared" si="72"/>
        <v>4.3747984949219726E-10</v>
      </c>
      <c r="N129" s="39">
        <f t="shared" si="47"/>
        <v>5.051459347240374E-09</v>
      </c>
      <c r="O129" s="39">
        <f t="shared" si="56"/>
        <v>5.8327809992714217E-08</v>
      </c>
      <c r="P129" s="59">
        <f t="shared" si="63"/>
        <v>6.734951594542226E-07</v>
      </c>
      <c r="Q129" s="59">
        <f t="shared" si="69"/>
        <v>7.776663136588323E-06</v>
      </c>
      <c r="R129" s="39">
        <f t="shared" si="48"/>
        <v>8.979498767144078E-05</v>
      </c>
      <c r="S129" s="39">
        <f t="shared" si="57"/>
        <v>0.0010368379934428218</v>
      </c>
      <c r="T129" s="39">
        <f t="shared" si="64"/>
        <v>0.011971905112392059</v>
      </c>
      <c r="U129" s="39">
        <f t="shared" si="70"/>
        <v>0.11</v>
      </c>
      <c r="AC129" s="83"/>
      <c r="AE129" s="10">
        <f>AE121+D$11</f>
        <v>142.06</v>
      </c>
      <c r="AF129" s="10">
        <f t="shared" si="68"/>
        <v>0.043479715300436796</v>
      </c>
      <c r="AG129" s="59">
        <f t="shared" si="46"/>
        <v>1.2095668007436013E-18</v>
      </c>
      <c r="AH129" s="39">
        <f t="shared" si="51"/>
        <v>3.870613762379533E-17</v>
      </c>
      <c r="AI129" s="39">
        <f t="shared" si="59"/>
        <v>1.2385964039614444E-15</v>
      </c>
      <c r="AJ129" s="59">
        <f t="shared" si="66"/>
        <v>3.96350849267663E-14</v>
      </c>
      <c r="AK129" s="59">
        <f t="shared" si="43"/>
        <v>1.268322717656493E-12</v>
      </c>
      <c r="AL129" s="39">
        <f t="shared" si="52"/>
        <v>4.058632696496048E-11</v>
      </c>
      <c r="AM129" s="39">
        <f t="shared" si="60"/>
        <v>1.2987624627946648E-09</v>
      </c>
      <c r="AN129" s="39">
        <f t="shared" si="38"/>
        <v>4.156039866028606E-08</v>
      </c>
      <c r="AO129" s="39">
        <f t="shared" si="44"/>
        <v>1.3299324925406547E-06</v>
      </c>
      <c r="AP129" s="39">
        <f t="shared" si="53"/>
        <v>4.255737036612861E-05</v>
      </c>
      <c r="AQ129" s="39">
        <f t="shared" si="61"/>
        <v>0.0013610031177619085</v>
      </c>
      <c r="AR129" s="83">
        <f t="shared" si="67"/>
        <v>0.04207478197875953</v>
      </c>
      <c r="AT129" s="39"/>
    </row>
    <row r="130" spans="3:46" ht="12.75">
      <c r="C130" s="10"/>
      <c r="D130" s="39"/>
      <c r="K130" s="10">
        <f t="shared" si="49"/>
        <v>200</v>
      </c>
      <c r="L130" s="10">
        <f t="shared" si="71"/>
        <v>0.09683155838172443</v>
      </c>
      <c r="M130" s="59">
        <f t="shared" si="72"/>
        <v>2.909923594990848E-10</v>
      </c>
      <c r="N130" s="39">
        <f t="shared" si="47"/>
        <v>3.360008640565741E-09</v>
      </c>
      <c r="O130" s="39">
        <f t="shared" si="56"/>
        <v>3.879709448079832E-08</v>
      </c>
      <c r="P130" s="59">
        <f t="shared" si="63"/>
        <v>4.479793658800096E-07</v>
      </c>
      <c r="Q130" s="59">
        <f t="shared" si="69"/>
        <v>5.172694371574138E-06</v>
      </c>
      <c r="R130" s="39">
        <f t="shared" si="48"/>
        <v>5.9727677432538457E-05</v>
      </c>
      <c r="S130" s="39">
        <f t="shared" si="57"/>
        <v>0.0006896590431292147</v>
      </c>
      <c r="T130" s="39">
        <f t="shared" si="64"/>
        <v>0.007963278909559229</v>
      </c>
      <c r="U130" s="39">
        <f t="shared" si="70"/>
        <v>0.08811322962977051</v>
      </c>
      <c r="AC130" s="52"/>
      <c r="AD130" s="7" t="s">
        <v>96</v>
      </c>
      <c r="AE130" s="95">
        <f>AE122+D$11</f>
        <v>144</v>
      </c>
      <c r="AF130" s="48">
        <f t="shared" si="68"/>
        <v>0.025239165379492137</v>
      </c>
      <c r="AG130" s="53">
        <f t="shared" si="46"/>
        <v>6.907124406729499E-19</v>
      </c>
      <c r="AH130" s="52">
        <f t="shared" si="51"/>
        <v>2.210279810153429E-17</v>
      </c>
      <c r="AI130" s="52">
        <f t="shared" si="59"/>
        <v>7.072895392490989E-16</v>
      </c>
      <c r="AJ130" s="53">
        <f t="shared" si="66"/>
        <v>2.2633265255971208E-14</v>
      </c>
      <c r="AK130" s="53">
        <f>AJ122</f>
        <v>7.242644881910698E-13</v>
      </c>
      <c r="AL130" s="52">
        <f t="shared" si="52"/>
        <v>2.317646362210006E-11</v>
      </c>
      <c r="AM130" s="52">
        <f t="shared" si="60"/>
        <v>7.416468358821203E-10</v>
      </c>
      <c r="AN130" s="52">
        <f t="shared" si="38"/>
        <v>2.373269870372848E-08</v>
      </c>
      <c r="AO130" s="52">
        <f t="shared" si="44"/>
        <v>7.594462795749361E-07</v>
      </c>
      <c r="AP130" s="52">
        <f t="shared" si="53"/>
        <v>2.430214089454865E-05</v>
      </c>
      <c r="AQ130" s="52">
        <f t="shared" si="61"/>
        <v>0.000777420048613304</v>
      </c>
      <c r="AR130" s="52">
        <f t="shared" si="67"/>
        <v>0.024436659245435078</v>
      </c>
      <c r="AT130" s="39"/>
    </row>
    <row r="131" spans="3:46" ht="12.75">
      <c r="C131" s="10"/>
      <c r="D131" s="39"/>
      <c r="K131" s="10">
        <f t="shared" si="49"/>
        <v>204</v>
      </c>
      <c r="L131" s="10">
        <f t="shared" si="71"/>
        <v>0.06643887947645043</v>
      </c>
      <c r="M131" s="59">
        <f t="shared" si="72"/>
        <v>1.9355532234257765E-10</v>
      </c>
      <c r="N131" s="39">
        <f t="shared" si="47"/>
        <v>2.2349300050972427E-09</v>
      </c>
      <c r="O131" s="39">
        <f t="shared" si="56"/>
        <v>2.5806121305428906E-08</v>
      </c>
      <c r="P131" s="59">
        <f t="shared" si="63"/>
        <v>2.979761761270626E-07</v>
      </c>
      <c r="Q131" s="59">
        <f t="shared" si="69"/>
        <v>3.4406488479393163E-06</v>
      </c>
      <c r="R131" s="39">
        <f t="shared" si="48"/>
        <v>3.972822474833738E-05</v>
      </c>
      <c r="S131" s="39">
        <f t="shared" si="57"/>
        <v>0.00045873087064048947</v>
      </c>
      <c r="T131" s="39">
        <f t="shared" si="64"/>
        <v>0.005296835756196211</v>
      </c>
      <c r="U131" s="39">
        <f t="shared" si="70"/>
        <v>0.060639817765234694</v>
      </c>
      <c r="AT131" s="39"/>
    </row>
    <row r="132" spans="3:46" ht="12.75">
      <c r="C132" s="10"/>
      <c r="D132" s="39"/>
      <c r="K132" s="10">
        <f t="shared" si="49"/>
        <v>208</v>
      </c>
      <c r="L132" s="10">
        <f t="shared" si="71"/>
        <v>0.04446815072044258</v>
      </c>
      <c r="M132" s="59">
        <f t="shared" si="72"/>
        <v>1.2874448962037772E-10</v>
      </c>
      <c r="N132" s="39">
        <f t="shared" si="47"/>
        <v>1.486577167504826E-09</v>
      </c>
      <c r="O132" s="39">
        <f t="shared" si="56"/>
        <v>1.7165097173967795E-08</v>
      </c>
      <c r="P132" s="59">
        <f t="shared" si="63"/>
        <v>1.9820065007879933E-07</v>
      </c>
      <c r="Q132" s="59">
        <f t="shared" si="69"/>
        <v>2.2885683252195744E-06</v>
      </c>
      <c r="R132" s="39">
        <f t="shared" si="48"/>
        <v>2.6425468216759206E-05</v>
      </c>
      <c r="S132" s="39">
        <f t="shared" si="57"/>
        <v>0.0003051276043513076</v>
      </c>
      <c r="T132" s="39">
        <f t="shared" si="64"/>
        <v>0.003523223974585155</v>
      </c>
      <c r="U132" s="39">
        <f t="shared" si="70"/>
        <v>0.04061086812389523</v>
      </c>
      <c r="AT132" s="39"/>
    </row>
    <row r="133" spans="3:46" ht="12.75">
      <c r="C133" s="10"/>
      <c r="D133" s="39"/>
      <c r="H133" s="59"/>
      <c r="I133" s="59"/>
      <c r="K133" s="10">
        <f t="shared" si="49"/>
        <v>212</v>
      </c>
      <c r="L133" s="10">
        <f t="shared" si="71"/>
        <v>0.02961575001085846</v>
      </c>
      <c r="M133" s="59">
        <f t="shared" si="72"/>
        <v>8.563517348427571E-11</v>
      </c>
      <c r="N133" s="39">
        <f t="shared" si="47"/>
        <v>9.888057656868398E-10</v>
      </c>
      <c r="O133" s="39">
        <f t="shared" si="56"/>
        <v>1.1417467875335932E-08</v>
      </c>
      <c r="P133" s="59">
        <f t="shared" si="63"/>
        <v>1.3183435737126665E-07</v>
      </c>
      <c r="Q133" s="59">
        <f t="shared" si="69"/>
        <v>1.5222550195249404E-06</v>
      </c>
      <c r="R133" s="39">
        <f t="shared" si="48"/>
        <v>1.7577059506143006E-05</v>
      </c>
      <c r="S133" s="39">
        <f t="shared" si="57"/>
        <v>0.00020295746568030947</v>
      </c>
      <c r="T133" s="39">
        <f t="shared" si="64"/>
        <v>0.002343493904465461</v>
      </c>
      <c r="U133" s="39">
        <f t="shared" si="70"/>
        <v>0.027050054999920834</v>
      </c>
      <c r="V133" s="6"/>
      <c r="W133" s="6"/>
      <c r="X133" s="6"/>
      <c r="Y133" s="6"/>
      <c r="Z133" s="6"/>
      <c r="AA133" s="6"/>
      <c r="AB133" s="6"/>
      <c r="AT133" s="39"/>
    </row>
    <row r="134" spans="3:46" ht="12.75">
      <c r="C134" s="10"/>
      <c r="D134" s="39"/>
      <c r="J134" s="7" t="s">
        <v>96</v>
      </c>
      <c r="K134" s="48">
        <f t="shared" si="49"/>
        <v>216</v>
      </c>
      <c r="L134" s="52">
        <f t="shared" si="71"/>
        <v>0.019704188765067004</v>
      </c>
      <c r="M134" s="53">
        <f t="shared" si="72"/>
        <v>5.696075194601003E-11</v>
      </c>
      <c r="N134" s="52">
        <f aca="true" t="shared" si="73" ref="N134:N158">M126</f>
        <v>6.577101166545149E-10</v>
      </c>
      <c r="O134" s="52">
        <f t="shared" si="56"/>
        <v>7.594397594324541E-09</v>
      </c>
      <c r="P134" s="53">
        <f t="shared" si="63"/>
        <v>8.769041764789824E-08</v>
      </c>
      <c r="Q134" s="53">
        <f t="shared" si="69"/>
        <v>1.0125371040633229E-06</v>
      </c>
      <c r="R134" s="52">
        <f aca="true" t="shared" si="74" ref="R134:R158">Q126</f>
        <v>1.1691487104343986E-05</v>
      </c>
      <c r="S134" s="52">
        <f t="shared" si="57"/>
        <v>0.00013499838194812528</v>
      </c>
      <c r="T134" s="52">
        <f t="shared" si="64"/>
        <v>0.001558789131765134</v>
      </c>
      <c r="U134" s="52">
        <f t="shared" si="70"/>
        <v>0.017997601227659227</v>
      </c>
      <c r="V134" s="52">
        <f aca="true" t="shared" si="75" ref="V134:V158">U126</f>
        <v>0</v>
      </c>
      <c r="AT134" s="39"/>
    </row>
    <row r="135" spans="3:46" ht="12.75">
      <c r="C135" s="10"/>
      <c r="D135" s="39"/>
      <c r="J135">
        <v>10</v>
      </c>
      <c r="K135" s="10">
        <f aca="true" t="shared" si="76" ref="K135:K152">K127+C$11</f>
        <v>217.33333333333331</v>
      </c>
      <c r="L135" s="10">
        <f aca="true" t="shared" si="77" ref="L135:L142">SUM(M135:V135)</f>
        <v>0.09177438708162786</v>
      </c>
      <c r="M135" s="59">
        <f t="shared" si="72"/>
        <v>4.972218722090916E-11</v>
      </c>
      <c r="N135" s="39">
        <f t="shared" si="73"/>
        <v>5.741284031569487E-10</v>
      </c>
      <c r="O135" s="39">
        <f t="shared" si="56"/>
        <v>6.629302565614705E-09</v>
      </c>
      <c r="P135" s="59">
        <f t="shared" si="63"/>
        <v>7.654673112288388E-08</v>
      </c>
      <c r="Q135" s="59">
        <f t="shared" si="69"/>
        <v>8.838640245492798E-07</v>
      </c>
      <c r="R135" s="39">
        <f t="shared" si="74"/>
        <v>1.020573448967182E-05</v>
      </c>
      <c r="S135" s="39">
        <f t="shared" si="57"/>
        <v>0.00011784280565867294</v>
      </c>
      <c r="T135" s="39">
        <f t="shared" si="64"/>
        <v>0.0013606984207158567</v>
      </c>
      <c r="U135" s="39">
        <f t="shared" si="70"/>
        <v>0.01571093771105571</v>
      </c>
      <c r="V135" s="39">
        <f t="shared" si="75"/>
        <v>0.07457373474579912</v>
      </c>
      <c r="AT135" s="39"/>
    </row>
    <row r="136" spans="3:46" ht="12.75">
      <c r="C136" s="10"/>
      <c r="D136" s="39"/>
      <c r="H136" s="59"/>
      <c r="I136" s="59"/>
      <c r="K136" s="10">
        <f t="shared" si="76"/>
        <v>218.66666666666669</v>
      </c>
      <c r="L136" s="10">
        <f t="shared" si="77"/>
        <v>0.11845005581025694</v>
      </c>
      <c r="M136" s="59">
        <f t="shared" si="72"/>
        <v>4.3403498331175106E-11</v>
      </c>
      <c r="N136" s="39">
        <f t="shared" si="73"/>
        <v>5.011682426114963E-10</v>
      </c>
      <c r="O136" s="39">
        <f t="shared" si="56"/>
        <v>5.786851683839733E-09</v>
      </c>
      <c r="P136" s="59">
        <f t="shared" si="63"/>
        <v>6.681918278832002E-08</v>
      </c>
      <c r="Q136" s="59">
        <f t="shared" si="69"/>
        <v>7.715427027389133E-07</v>
      </c>
      <c r="R136" s="39">
        <f t="shared" si="74"/>
        <v>8.908791118195483E-06</v>
      </c>
      <c r="S136" s="39">
        <f t="shared" si="57"/>
        <v>0.00010286735770539124</v>
      </c>
      <c r="T136" s="39">
        <f t="shared" si="64"/>
        <v>0.0011877810492497997</v>
      </c>
      <c r="U136" s="39">
        <f t="shared" si="70"/>
        <v>0.013714635084436853</v>
      </c>
      <c r="V136" s="39">
        <f t="shared" si="75"/>
        <v>0.10343501883443776</v>
      </c>
      <c r="W136" s="6"/>
      <c r="X136" s="6"/>
      <c r="Y136" s="6"/>
      <c r="Z136" s="6"/>
      <c r="AA136" s="6"/>
      <c r="AB136" s="6"/>
      <c r="AT136" s="39"/>
    </row>
    <row r="137" spans="3:46" ht="12.75">
      <c r="C137" s="10"/>
      <c r="D137" s="39"/>
      <c r="J137" s="7" t="s">
        <v>76</v>
      </c>
      <c r="K137" s="10">
        <f t="shared" si="76"/>
        <v>220</v>
      </c>
      <c r="L137" s="10">
        <f t="shared" si="77"/>
        <v>0.12310705210643934</v>
      </c>
      <c r="M137" s="59">
        <f t="shared" si="72"/>
        <v>3.788778757890464E-11</v>
      </c>
      <c r="N137" s="39">
        <f t="shared" si="73"/>
        <v>4.3747984949219726E-10</v>
      </c>
      <c r="O137" s="39">
        <f t="shared" si="56"/>
        <v>5.051459347240374E-09</v>
      </c>
      <c r="P137" s="59">
        <f t="shared" si="63"/>
        <v>5.8327809992714217E-08</v>
      </c>
      <c r="Q137" s="59">
        <f t="shared" si="69"/>
        <v>6.734951594542226E-07</v>
      </c>
      <c r="R137" s="39">
        <f t="shared" si="74"/>
        <v>7.776663136588323E-06</v>
      </c>
      <c r="S137" s="39">
        <f t="shared" si="57"/>
        <v>8.979498767144078E-05</v>
      </c>
      <c r="T137" s="39">
        <f t="shared" si="64"/>
        <v>0.0010368379934428218</v>
      </c>
      <c r="U137" s="39">
        <f t="shared" si="70"/>
        <v>0.011971905112392059</v>
      </c>
      <c r="V137" s="39">
        <f t="shared" si="75"/>
        <v>0.11</v>
      </c>
      <c r="AT137" s="39"/>
    </row>
    <row r="138" spans="3:46" ht="12.75">
      <c r="C138" s="10"/>
      <c r="D138" s="39"/>
      <c r="K138" s="10">
        <f t="shared" si="76"/>
        <v>224</v>
      </c>
      <c r="L138" s="10">
        <f t="shared" si="77"/>
        <v>0.09683155840692573</v>
      </c>
      <c r="M138" s="59">
        <f t="shared" si="72"/>
        <v>2.5201290337332938E-11</v>
      </c>
      <c r="N138" s="39">
        <f t="shared" si="73"/>
        <v>2.909923594990848E-10</v>
      </c>
      <c r="O138" s="39">
        <f t="shared" si="56"/>
        <v>3.360008640565741E-09</v>
      </c>
      <c r="P138" s="59">
        <f t="shared" si="63"/>
        <v>3.879709448079832E-08</v>
      </c>
      <c r="Q138" s="59">
        <f t="shared" si="69"/>
        <v>4.479793658800096E-07</v>
      </c>
      <c r="R138" s="39">
        <f t="shared" si="74"/>
        <v>5.172694371574138E-06</v>
      </c>
      <c r="S138" s="39">
        <f t="shared" si="57"/>
        <v>5.9727677432538457E-05</v>
      </c>
      <c r="T138" s="39">
        <f t="shared" si="64"/>
        <v>0.0006896590431292147</v>
      </c>
      <c r="U138" s="39">
        <f t="shared" si="70"/>
        <v>0.007963278909559229</v>
      </c>
      <c r="V138" s="39">
        <f t="shared" si="75"/>
        <v>0.08811322962977051</v>
      </c>
      <c r="AT138" s="39"/>
    </row>
    <row r="139" spans="3:46" ht="12.75">
      <c r="C139" s="10"/>
      <c r="D139" s="39"/>
      <c r="K139" s="10">
        <f t="shared" si="76"/>
        <v>228</v>
      </c>
      <c r="L139" s="10">
        <f t="shared" si="77"/>
        <v>0.06643887949321323</v>
      </c>
      <c r="M139" s="59">
        <f t="shared" si="72"/>
        <v>1.6762790208952912E-11</v>
      </c>
      <c r="N139" s="39">
        <f t="shared" si="73"/>
        <v>1.9355532234257765E-10</v>
      </c>
      <c r="O139" s="39">
        <f t="shared" si="56"/>
        <v>2.2349300050972427E-09</v>
      </c>
      <c r="P139" s="59">
        <f t="shared" si="63"/>
        <v>2.5806121305428906E-08</v>
      </c>
      <c r="Q139" s="59">
        <f t="shared" si="69"/>
        <v>2.979761761270626E-07</v>
      </c>
      <c r="R139" s="39">
        <f t="shared" si="74"/>
        <v>3.4406488479393163E-06</v>
      </c>
      <c r="S139" s="39">
        <f t="shared" si="57"/>
        <v>3.972822474833738E-05</v>
      </c>
      <c r="T139" s="39">
        <f t="shared" si="64"/>
        <v>0.00045873087064048947</v>
      </c>
      <c r="U139" s="39">
        <f t="shared" si="70"/>
        <v>0.005296835756196211</v>
      </c>
      <c r="V139" s="39">
        <f t="shared" si="75"/>
        <v>0.060639817765234694</v>
      </c>
      <c r="AT139" s="39"/>
    </row>
    <row r="140" spans="3:46" ht="12.75">
      <c r="C140" s="10"/>
      <c r="D140" s="39"/>
      <c r="K140" s="10">
        <f t="shared" si="76"/>
        <v>232</v>
      </c>
      <c r="L140" s="10">
        <f t="shared" si="77"/>
        <v>0.04446815073159245</v>
      </c>
      <c r="M140" s="59">
        <f t="shared" si="72"/>
        <v>1.1149870972007738E-11</v>
      </c>
      <c r="N140" s="39">
        <f t="shared" si="73"/>
        <v>1.2874448962037772E-10</v>
      </c>
      <c r="O140" s="39">
        <f t="shared" si="56"/>
        <v>1.486577167504826E-09</v>
      </c>
      <c r="P140" s="59">
        <f t="shared" si="63"/>
        <v>1.7165097173967795E-08</v>
      </c>
      <c r="Q140" s="59">
        <f t="shared" si="69"/>
        <v>1.9820065007879933E-07</v>
      </c>
      <c r="R140" s="39">
        <f t="shared" si="74"/>
        <v>2.2885683252195744E-06</v>
      </c>
      <c r="S140" s="39">
        <f t="shared" si="57"/>
        <v>2.6425468216759206E-05</v>
      </c>
      <c r="T140" s="39">
        <f t="shared" si="64"/>
        <v>0.0003051276043513076</v>
      </c>
      <c r="U140" s="39">
        <f t="shared" si="70"/>
        <v>0.003523223974585155</v>
      </c>
      <c r="V140" s="39">
        <f t="shared" si="75"/>
        <v>0.04061086812389523</v>
      </c>
      <c r="AT140" s="39"/>
    </row>
    <row r="141" spans="3:46" ht="12.75">
      <c r="C141" s="10"/>
      <c r="D141" s="39"/>
      <c r="K141" s="10">
        <f t="shared" si="76"/>
        <v>236</v>
      </c>
      <c r="L141" s="10">
        <f t="shared" si="77"/>
        <v>0.029615750018274864</v>
      </c>
      <c r="M141" s="59">
        <f t="shared" si="72"/>
        <v>7.416403900707553E-12</v>
      </c>
      <c r="N141" s="39">
        <f t="shared" si="73"/>
        <v>8.563517348427571E-11</v>
      </c>
      <c r="O141" s="39">
        <f t="shared" si="56"/>
        <v>9.888057656868398E-10</v>
      </c>
      <c r="P141" s="59">
        <f t="shared" si="63"/>
        <v>1.1417467875335932E-08</v>
      </c>
      <c r="Q141" s="59">
        <f t="shared" si="69"/>
        <v>1.3183435737126665E-07</v>
      </c>
      <c r="R141" s="39">
        <f t="shared" si="74"/>
        <v>1.5222550195249404E-06</v>
      </c>
      <c r="S141" s="39">
        <f t="shared" si="57"/>
        <v>1.7577059506143006E-05</v>
      </c>
      <c r="T141" s="39">
        <f t="shared" si="64"/>
        <v>0.00020295746568030947</v>
      </c>
      <c r="U141" s="39">
        <f t="shared" si="70"/>
        <v>0.002343493904465461</v>
      </c>
      <c r="V141" s="39">
        <f t="shared" si="75"/>
        <v>0.027050054999920834</v>
      </c>
      <c r="AT141" s="39"/>
    </row>
    <row r="142" spans="3:46" ht="12.75">
      <c r="C142" s="10"/>
      <c r="D142" s="39"/>
      <c r="J142" s="7" t="s">
        <v>96</v>
      </c>
      <c r="K142" s="48">
        <f t="shared" si="76"/>
        <v>240</v>
      </c>
      <c r="L142" s="10">
        <f t="shared" si="77"/>
        <v>0.01970418877000007</v>
      </c>
      <c r="M142" s="53">
        <f t="shared" si="72"/>
        <v>4.933065768789423E-12</v>
      </c>
      <c r="N142" s="52">
        <f t="shared" si="73"/>
        <v>5.696075194601003E-11</v>
      </c>
      <c r="O142" s="52">
        <f aca="true" t="shared" si="78" ref="O142:O158">N134</f>
        <v>6.577101166545149E-10</v>
      </c>
      <c r="P142" s="53">
        <f t="shared" si="63"/>
        <v>7.594397594324541E-09</v>
      </c>
      <c r="Q142" s="53">
        <f t="shared" si="69"/>
        <v>8.769041764789824E-08</v>
      </c>
      <c r="R142" s="52">
        <f t="shared" si="74"/>
        <v>1.0125371040633229E-06</v>
      </c>
      <c r="S142" s="52">
        <f aca="true" t="shared" si="79" ref="S142:S158">R134</f>
        <v>1.1691487104343986E-05</v>
      </c>
      <c r="T142" s="52">
        <f t="shared" si="64"/>
        <v>0.00013499838194812528</v>
      </c>
      <c r="U142" s="52">
        <f t="shared" si="70"/>
        <v>0.001558789131765134</v>
      </c>
      <c r="V142" s="52">
        <f t="shared" si="75"/>
        <v>0.017997601227659227</v>
      </c>
      <c r="W142" s="52">
        <f aca="true" t="shared" si="80" ref="W142:W158">V134</f>
        <v>0</v>
      </c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39"/>
    </row>
    <row r="143" spans="3:46" ht="12.75">
      <c r="C143" s="10"/>
      <c r="D143" s="39"/>
      <c r="J143">
        <v>11</v>
      </c>
      <c r="K143" s="10">
        <f t="shared" si="76"/>
        <v>241.33333333333331</v>
      </c>
      <c r="L143" s="10">
        <f aca="true" t="shared" si="81" ref="L143:L150">SUM(M143:W143)</f>
        <v>0.09177438708593402</v>
      </c>
      <c r="M143" s="59">
        <f t="shared" si="72"/>
        <v>4.306172431875479E-12</v>
      </c>
      <c r="N143" s="39">
        <f t="shared" si="73"/>
        <v>4.972218722090916E-11</v>
      </c>
      <c r="O143" s="39">
        <f t="shared" si="78"/>
        <v>5.741284031569487E-10</v>
      </c>
      <c r="P143" s="59">
        <f t="shared" si="63"/>
        <v>6.629302565614705E-09</v>
      </c>
      <c r="Q143" s="59">
        <f t="shared" si="69"/>
        <v>7.654673112288388E-08</v>
      </c>
      <c r="R143" s="39">
        <f t="shared" si="74"/>
        <v>8.838640245492798E-07</v>
      </c>
      <c r="S143" s="39">
        <f t="shared" si="79"/>
        <v>1.020573448967182E-05</v>
      </c>
      <c r="T143" s="39">
        <f t="shared" si="64"/>
        <v>0.00011784280565867294</v>
      </c>
      <c r="U143" s="39">
        <f t="shared" si="70"/>
        <v>0.0013606984207158567</v>
      </c>
      <c r="V143" s="39">
        <f t="shared" si="75"/>
        <v>0.01571093771105571</v>
      </c>
      <c r="W143" s="39">
        <f t="shared" si="80"/>
        <v>0.07457373474579912</v>
      </c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39"/>
    </row>
    <row r="144" spans="3:46" ht="12.75">
      <c r="C144" s="10"/>
      <c r="D144" s="39"/>
      <c r="H144" s="59"/>
      <c r="I144" s="59"/>
      <c r="K144" s="10">
        <f t="shared" si="76"/>
        <v>242.66666666666669</v>
      </c>
      <c r="L144" s="10">
        <f t="shared" si="81"/>
        <v>0.1184500558140159</v>
      </c>
      <c r="M144" s="59">
        <f t="shared" si="72"/>
        <v>3.758944616218797E-12</v>
      </c>
      <c r="N144" s="39">
        <f t="shared" si="73"/>
        <v>4.3403498331175106E-11</v>
      </c>
      <c r="O144" s="39">
        <f t="shared" si="78"/>
        <v>5.011682426114963E-10</v>
      </c>
      <c r="P144" s="59">
        <f t="shared" si="63"/>
        <v>5.786851683839733E-09</v>
      </c>
      <c r="Q144" s="59">
        <f t="shared" si="69"/>
        <v>6.681918278832002E-08</v>
      </c>
      <c r="R144" s="39">
        <f t="shared" si="74"/>
        <v>7.715427027389133E-07</v>
      </c>
      <c r="S144" s="39">
        <f t="shared" si="79"/>
        <v>8.908791118195483E-06</v>
      </c>
      <c r="T144" s="39">
        <f t="shared" si="64"/>
        <v>0.00010286735770539124</v>
      </c>
      <c r="U144" s="39">
        <f t="shared" si="70"/>
        <v>0.0011877810492497997</v>
      </c>
      <c r="V144" s="39">
        <f t="shared" si="75"/>
        <v>0.013714635084436853</v>
      </c>
      <c r="W144" s="39">
        <f t="shared" si="80"/>
        <v>0.10343501883443776</v>
      </c>
      <c r="X144" s="96"/>
      <c r="Y144" s="96"/>
      <c r="Z144" s="96"/>
      <c r="AA144" s="96"/>
      <c r="AB144" s="96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39"/>
    </row>
    <row r="145" spans="3:46" ht="12.75">
      <c r="C145" s="10"/>
      <c r="D145" s="39"/>
      <c r="J145" s="7" t="s">
        <v>76</v>
      </c>
      <c r="K145" s="10">
        <f t="shared" si="76"/>
        <v>244</v>
      </c>
      <c r="L145" s="39">
        <f t="shared" si="81"/>
        <v>0.1231070521097206</v>
      </c>
      <c r="M145" s="59">
        <f t="shared" si="72"/>
        <v>3.281258438052479E-12</v>
      </c>
      <c r="N145" s="39">
        <f t="shared" si="73"/>
        <v>3.788778757890464E-11</v>
      </c>
      <c r="O145" s="39">
        <f t="shared" si="78"/>
        <v>4.3747984949219726E-10</v>
      </c>
      <c r="P145" s="59">
        <f t="shared" si="63"/>
        <v>5.051459347240374E-09</v>
      </c>
      <c r="Q145" s="59">
        <f t="shared" si="69"/>
        <v>5.8327809992714217E-08</v>
      </c>
      <c r="R145" s="39">
        <f t="shared" si="74"/>
        <v>6.734951594542226E-07</v>
      </c>
      <c r="S145" s="39">
        <f t="shared" si="79"/>
        <v>7.776663136588323E-06</v>
      </c>
      <c r="T145" s="39">
        <f t="shared" si="64"/>
        <v>8.979498767144078E-05</v>
      </c>
      <c r="U145" s="39">
        <f t="shared" si="70"/>
        <v>0.0010368379934428218</v>
      </c>
      <c r="V145" s="39">
        <f t="shared" si="75"/>
        <v>0.011971905112392059</v>
      </c>
      <c r="W145" s="39">
        <f t="shared" si="80"/>
        <v>0.11</v>
      </c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39"/>
    </row>
    <row r="146" spans="3:46" ht="12.75">
      <c r="C146" s="10"/>
      <c r="D146" s="39"/>
      <c r="K146" s="10">
        <f t="shared" si="76"/>
        <v>248</v>
      </c>
      <c r="L146" s="10">
        <f t="shared" si="81"/>
        <v>0.09683155840910827</v>
      </c>
      <c r="M146" s="59">
        <f t="shared" si="72"/>
        <v>2.182548833102774E-12</v>
      </c>
      <c r="N146" s="39">
        <f t="shared" si="73"/>
        <v>2.5201290337332938E-11</v>
      </c>
      <c r="O146" s="39">
        <f t="shared" si="78"/>
        <v>2.909923594990848E-10</v>
      </c>
      <c r="P146" s="59">
        <f t="shared" si="63"/>
        <v>3.360008640565741E-09</v>
      </c>
      <c r="Q146" s="59">
        <f t="shared" si="69"/>
        <v>3.879709448079832E-08</v>
      </c>
      <c r="R146" s="39">
        <f t="shared" si="74"/>
        <v>4.479793658800096E-07</v>
      </c>
      <c r="S146" s="39">
        <f t="shared" si="79"/>
        <v>5.172694371574138E-06</v>
      </c>
      <c r="T146" s="39">
        <f t="shared" si="64"/>
        <v>5.9727677432538457E-05</v>
      </c>
      <c r="U146" s="39">
        <f t="shared" si="70"/>
        <v>0.0006896590431292147</v>
      </c>
      <c r="V146" s="39">
        <f t="shared" si="75"/>
        <v>0.007963278909559229</v>
      </c>
      <c r="W146" s="39">
        <f t="shared" si="80"/>
        <v>0.08811322962977051</v>
      </c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39"/>
    </row>
    <row r="147" spans="3:46" ht="12.75">
      <c r="C147" s="10"/>
      <c r="D147" s="39"/>
      <c r="K147" s="10">
        <f t="shared" si="76"/>
        <v>252</v>
      </c>
      <c r="L147" s="10">
        <f t="shared" si="81"/>
        <v>0.06643887949466495</v>
      </c>
      <c r="M147" s="59">
        <f t="shared" si="72"/>
        <v>1.4517355151414305E-12</v>
      </c>
      <c r="N147" s="39">
        <f t="shared" si="73"/>
        <v>1.6762790208952912E-11</v>
      </c>
      <c r="O147" s="39">
        <f t="shared" si="78"/>
        <v>1.9355532234257765E-10</v>
      </c>
      <c r="P147" s="59">
        <f t="shared" si="63"/>
        <v>2.2349300050972427E-09</v>
      </c>
      <c r="Q147" s="59">
        <f t="shared" si="69"/>
        <v>2.5806121305428906E-08</v>
      </c>
      <c r="R147" s="39">
        <f t="shared" si="74"/>
        <v>2.979761761270626E-07</v>
      </c>
      <c r="S147" s="39">
        <f t="shared" si="79"/>
        <v>3.4406488479393163E-06</v>
      </c>
      <c r="T147" s="39">
        <f t="shared" si="64"/>
        <v>3.972822474833738E-05</v>
      </c>
      <c r="U147" s="39">
        <f t="shared" si="70"/>
        <v>0.00045873087064048947</v>
      </c>
      <c r="V147" s="39">
        <f t="shared" si="75"/>
        <v>0.005296835756196211</v>
      </c>
      <c r="W147" s="39">
        <f t="shared" si="80"/>
        <v>0.060639817765234694</v>
      </c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39"/>
    </row>
    <row r="148" spans="3:46" ht="12.75">
      <c r="C148" s="10"/>
      <c r="D148" s="39"/>
      <c r="K148" s="10">
        <f t="shared" si="76"/>
        <v>256</v>
      </c>
      <c r="L148" s="10">
        <f t="shared" si="81"/>
        <v>0.04446815073255808</v>
      </c>
      <c r="M148" s="59">
        <f t="shared" si="72"/>
        <v>9.656306305535535E-13</v>
      </c>
      <c r="N148" s="39">
        <f t="shared" si="73"/>
        <v>1.1149870972007738E-11</v>
      </c>
      <c r="O148" s="39">
        <f t="shared" si="78"/>
        <v>1.2874448962037772E-10</v>
      </c>
      <c r="P148" s="59">
        <f t="shared" si="63"/>
        <v>1.486577167504826E-09</v>
      </c>
      <c r="Q148" s="59">
        <f t="shared" si="69"/>
        <v>1.7165097173967795E-08</v>
      </c>
      <c r="R148" s="39">
        <f t="shared" si="74"/>
        <v>1.9820065007879933E-07</v>
      </c>
      <c r="S148" s="39">
        <f t="shared" si="79"/>
        <v>2.2885683252195744E-06</v>
      </c>
      <c r="T148" s="39">
        <f t="shared" si="64"/>
        <v>2.6425468216759206E-05</v>
      </c>
      <c r="U148" s="39">
        <f t="shared" si="70"/>
        <v>0.0003051276043513076</v>
      </c>
      <c r="V148" s="39">
        <f t="shared" si="75"/>
        <v>0.003523223974585155</v>
      </c>
      <c r="W148" s="39">
        <f t="shared" si="80"/>
        <v>0.04061086812389523</v>
      </c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39"/>
    </row>
    <row r="149" spans="3:46" ht="12.75">
      <c r="C149" s="10"/>
      <c r="D149" s="39"/>
      <c r="K149" s="10">
        <f t="shared" si="76"/>
        <v>260</v>
      </c>
      <c r="L149" s="10">
        <f t="shared" si="81"/>
        <v>0.029615750018917156</v>
      </c>
      <c r="M149" s="59">
        <f t="shared" si="72"/>
        <v>6.422950357954241E-13</v>
      </c>
      <c r="N149" s="39">
        <f t="shared" si="73"/>
        <v>7.416403900707553E-12</v>
      </c>
      <c r="O149" s="39">
        <f t="shared" si="78"/>
        <v>8.563517348427571E-11</v>
      </c>
      <c r="P149" s="59">
        <f t="shared" si="63"/>
        <v>9.888057656868398E-10</v>
      </c>
      <c r="Q149" s="59">
        <f t="shared" si="69"/>
        <v>1.1417467875335932E-08</v>
      </c>
      <c r="R149" s="39">
        <f t="shared" si="74"/>
        <v>1.3183435737126665E-07</v>
      </c>
      <c r="S149" s="39">
        <f t="shared" si="79"/>
        <v>1.5222550195249404E-06</v>
      </c>
      <c r="T149" s="39">
        <f t="shared" si="64"/>
        <v>1.7577059506143006E-05</v>
      </c>
      <c r="U149" s="39">
        <f t="shared" si="70"/>
        <v>0.00020295746568030947</v>
      </c>
      <c r="V149" s="39">
        <f t="shared" si="75"/>
        <v>0.002343493904465461</v>
      </c>
      <c r="W149" s="39">
        <f t="shared" si="80"/>
        <v>0.027050054999920834</v>
      </c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39"/>
    </row>
    <row r="150" spans="3:46" ht="12.75">
      <c r="C150" s="10"/>
      <c r="D150" s="39"/>
      <c r="J150" s="7" t="s">
        <v>96</v>
      </c>
      <c r="K150" s="48">
        <f t="shared" si="76"/>
        <v>264</v>
      </c>
      <c r="L150" s="48">
        <f t="shared" si="81"/>
        <v>0.019704188770427296</v>
      </c>
      <c r="M150" s="53">
        <f t="shared" si="72"/>
        <v>4.2722641551972353E-13</v>
      </c>
      <c r="N150" s="52">
        <f t="shared" si="73"/>
        <v>4.933065768789423E-12</v>
      </c>
      <c r="O150" s="52">
        <f t="shared" si="78"/>
        <v>5.696075194601003E-11</v>
      </c>
      <c r="P150" s="53">
        <f aca="true" t="shared" si="82" ref="P150:P158">O142</f>
        <v>6.577101166545149E-10</v>
      </c>
      <c r="Q150" s="53">
        <f t="shared" si="69"/>
        <v>7.594397594324541E-09</v>
      </c>
      <c r="R150" s="52">
        <f t="shared" si="74"/>
        <v>8.769041764789824E-08</v>
      </c>
      <c r="S150" s="52">
        <f t="shared" si="79"/>
        <v>1.0125371040633229E-06</v>
      </c>
      <c r="T150" s="52">
        <f t="shared" si="64"/>
        <v>1.1691487104343986E-05</v>
      </c>
      <c r="U150" s="52">
        <f t="shared" si="70"/>
        <v>0.00013499838194812528</v>
      </c>
      <c r="V150" s="52">
        <f t="shared" si="75"/>
        <v>0.001558789131765134</v>
      </c>
      <c r="W150" s="52">
        <f t="shared" si="80"/>
        <v>0.017997601227659227</v>
      </c>
      <c r="X150" s="52">
        <f aca="true" t="shared" si="83" ref="X150:X158">W142</f>
        <v>0</v>
      </c>
      <c r="Y150" s="83"/>
      <c r="Z150" s="83"/>
      <c r="AA150" s="83"/>
      <c r="AB150" s="83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39"/>
    </row>
    <row r="151" spans="3:46" ht="12.75">
      <c r="C151" s="10"/>
      <c r="D151" s="39"/>
      <c r="J151">
        <v>12</v>
      </c>
      <c r="K151" s="10">
        <f t="shared" si="76"/>
        <v>265.3333333333333</v>
      </c>
      <c r="L151" s="10">
        <f aca="true" t="shared" si="84" ref="L151:L158">SUM(M151:X151)</f>
        <v>0.09177438708630696</v>
      </c>
      <c r="M151" s="59">
        <f t="shared" si="72"/>
        <v>3.729345398797465E-13</v>
      </c>
      <c r="N151" s="39">
        <f t="shared" si="73"/>
        <v>4.306172431875479E-12</v>
      </c>
      <c r="O151" s="39">
        <f t="shared" si="78"/>
        <v>4.972218722090916E-11</v>
      </c>
      <c r="P151" s="59">
        <f t="shared" si="82"/>
        <v>5.741284031569487E-10</v>
      </c>
      <c r="Q151" s="59">
        <f t="shared" si="69"/>
        <v>6.629302565614705E-09</v>
      </c>
      <c r="R151" s="39">
        <f t="shared" si="74"/>
        <v>7.654673112288388E-08</v>
      </c>
      <c r="S151" s="39">
        <f t="shared" si="79"/>
        <v>8.838640245492798E-07</v>
      </c>
      <c r="T151" s="39">
        <f t="shared" si="64"/>
        <v>1.020573448967182E-05</v>
      </c>
      <c r="U151" s="39">
        <f t="shared" si="70"/>
        <v>0.00011784280565867294</v>
      </c>
      <c r="V151" s="39">
        <f t="shared" si="75"/>
        <v>0.0013606984207158567</v>
      </c>
      <c r="W151" s="39">
        <f t="shared" si="80"/>
        <v>0.01571093771105571</v>
      </c>
      <c r="X151" s="83">
        <f t="shared" si="83"/>
        <v>0.07457373474579912</v>
      </c>
      <c r="Y151" s="83"/>
      <c r="Z151" s="83"/>
      <c r="AA151" s="83"/>
      <c r="AB151" s="83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39"/>
    </row>
    <row r="152" spans="3:46" ht="12.75">
      <c r="C152" s="10"/>
      <c r="D152" s="39"/>
      <c r="K152" s="10">
        <f t="shared" si="76"/>
        <v>266.6666666666667</v>
      </c>
      <c r="L152" s="10">
        <f t="shared" si="84"/>
        <v>0.11845005581434144</v>
      </c>
      <c r="M152" s="59">
        <f t="shared" si="72"/>
        <v>3.2554206852150143E-13</v>
      </c>
      <c r="N152" s="39">
        <f t="shared" si="73"/>
        <v>3.758944616218797E-12</v>
      </c>
      <c r="O152" s="39">
        <f t="shared" si="78"/>
        <v>4.3403498331175106E-11</v>
      </c>
      <c r="P152" s="59">
        <f t="shared" si="82"/>
        <v>5.011682426114963E-10</v>
      </c>
      <c r="Q152" s="59">
        <f t="shared" si="69"/>
        <v>5.786851683839733E-09</v>
      </c>
      <c r="R152" s="39">
        <f t="shared" si="74"/>
        <v>6.681918278832002E-08</v>
      </c>
      <c r="S152" s="39">
        <f t="shared" si="79"/>
        <v>7.715427027389133E-07</v>
      </c>
      <c r="T152" s="39">
        <f t="shared" si="64"/>
        <v>8.908791118195483E-06</v>
      </c>
      <c r="U152" s="39">
        <f t="shared" si="70"/>
        <v>0.00010286735770539124</v>
      </c>
      <c r="V152" s="39">
        <f t="shared" si="75"/>
        <v>0.0011877810492497997</v>
      </c>
      <c r="W152" s="39">
        <f t="shared" si="80"/>
        <v>0.013714635084436853</v>
      </c>
      <c r="X152" s="83">
        <f t="shared" si="83"/>
        <v>0.10343501883443776</v>
      </c>
      <c r="Y152" s="83"/>
      <c r="Z152" s="83"/>
      <c r="AA152" s="83"/>
      <c r="AB152" s="83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39"/>
    </row>
    <row r="153" spans="3:46" ht="12.75">
      <c r="C153" s="10"/>
      <c r="D153" s="39"/>
      <c r="J153" s="7" t="s">
        <v>76</v>
      </c>
      <c r="K153" s="10">
        <f>K150+C19</f>
        <v>267.7718910931282</v>
      </c>
      <c r="L153" s="39">
        <f t="shared" si="84"/>
        <v>0.12310705211001145</v>
      </c>
      <c r="M153" s="59">
        <f t="shared" si="72"/>
        <v>2.908571934827891E-13</v>
      </c>
      <c r="N153" s="39">
        <f t="shared" si="73"/>
        <v>3.281258438052479E-12</v>
      </c>
      <c r="O153" s="39">
        <f t="shared" si="78"/>
        <v>3.788778757890464E-11</v>
      </c>
      <c r="P153" s="59">
        <f t="shared" si="82"/>
        <v>4.3747984949219726E-10</v>
      </c>
      <c r="Q153" s="59">
        <f t="shared" si="69"/>
        <v>5.051459347240374E-09</v>
      </c>
      <c r="R153" s="39">
        <f t="shared" si="74"/>
        <v>5.8327809992714217E-08</v>
      </c>
      <c r="S153" s="39">
        <f t="shared" si="79"/>
        <v>6.734951594542226E-07</v>
      </c>
      <c r="T153" s="39">
        <f t="shared" si="64"/>
        <v>7.776663136588323E-06</v>
      </c>
      <c r="U153" s="39">
        <f t="shared" si="70"/>
        <v>8.979498767144078E-05</v>
      </c>
      <c r="V153" s="39">
        <f t="shared" si="75"/>
        <v>0.0010368379934428218</v>
      </c>
      <c r="W153" s="39">
        <f t="shared" si="80"/>
        <v>0.011971905112392059</v>
      </c>
      <c r="X153" s="83">
        <f t="shared" si="83"/>
        <v>0.11</v>
      </c>
      <c r="Y153" s="83"/>
      <c r="Z153" s="83"/>
      <c r="AA153" s="83"/>
      <c r="AB153" s="83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39"/>
    </row>
    <row r="154" spans="3:46" ht="12.75">
      <c r="C154" s="10"/>
      <c r="D154" s="39"/>
      <c r="K154" s="10">
        <f>K146+C$11</f>
        <v>272</v>
      </c>
      <c r="L154" s="10">
        <f t="shared" si="84"/>
        <v>0.09683155840929729</v>
      </c>
      <c r="M154" s="59">
        <f t="shared" si="72"/>
        <v>1.8901886947517331E-13</v>
      </c>
      <c r="N154" s="39">
        <f t="shared" si="73"/>
        <v>2.182548833102774E-12</v>
      </c>
      <c r="O154" s="39">
        <f t="shared" si="78"/>
        <v>2.5201290337332938E-11</v>
      </c>
      <c r="P154" s="59">
        <f t="shared" si="82"/>
        <v>2.909923594990848E-10</v>
      </c>
      <c r="Q154" s="59">
        <f t="shared" si="69"/>
        <v>3.360008640565741E-09</v>
      </c>
      <c r="R154" s="39">
        <f t="shared" si="74"/>
        <v>3.879709448079832E-08</v>
      </c>
      <c r="S154" s="39">
        <f t="shared" si="79"/>
        <v>4.479793658800096E-07</v>
      </c>
      <c r="T154" s="39">
        <f t="shared" si="64"/>
        <v>5.172694371574138E-06</v>
      </c>
      <c r="U154" s="39">
        <f t="shared" si="70"/>
        <v>5.9727677432538457E-05</v>
      </c>
      <c r="V154" s="39">
        <f t="shared" si="75"/>
        <v>0.0006896590431292147</v>
      </c>
      <c r="W154" s="39">
        <f t="shared" si="80"/>
        <v>0.007963278909559229</v>
      </c>
      <c r="X154" s="83">
        <f t="shared" si="83"/>
        <v>0.08811322962977051</v>
      </c>
      <c r="Y154" s="83"/>
      <c r="Z154" s="83"/>
      <c r="AA154" s="83"/>
      <c r="AB154" s="83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39"/>
    </row>
    <row r="155" spans="3:46" ht="12.75">
      <c r="C155" s="10"/>
      <c r="D155" s="39"/>
      <c r="K155" s="10">
        <f>K147+C$11</f>
        <v>276</v>
      </c>
      <c r="L155" s="10">
        <f t="shared" si="84"/>
        <v>0.06643887949479069</v>
      </c>
      <c r="M155" s="59">
        <f t="shared" si="72"/>
        <v>1.257270406449E-13</v>
      </c>
      <c r="N155" s="39">
        <f t="shared" si="73"/>
        <v>1.4517355151414305E-12</v>
      </c>
      <c r="O155" s="39">
        <f t="shared" si="78"/>
        <v>1.6762790208952912E-11</v>
      </c>
      <c r="P155" s="59">
        <f t="shared" si="82"/>
        <v>1.9355532234257765E-10</v>
      </c>
      <c r="Q155" s="59">
        <f t="shared" si="69"/>
        <v>2.2349300050972427E-09</v>
      </c>
      <c r="R155" s="39">
        <f t="shared" si="74"/>
        <v>2.5806121305428906E-08</v>
      </c>
      <c r="S155" s="39">
        <f t="shared" si="79"/>
        <v>2.979761761270626E-07</v>
      </c>
      <c r="T155" s="39">
        <f t="shared" si="64"/>
        <v>3.4406488479393163E-06</v>
      </c>
      <c r="U155" s="39">
        <f t="shared" si="70"/>
        <v>3.972822474833738E-05</v>
      </c>
      <c r="V155" s="39">
        <f t="shared" si="75"/>
        <v>0.00045873087064048947</v>
      </c>
      <c r="W155" s="39">
        <f t="shared" si="80"/>
        <v>0.005296835756196211</v>
      </c>
      <c r="X155" s="83">
        <f t="shared" si="83"/>
        <v>0.060639817765234694</v>
      </c>
      <c r="Y155" s="83"/>
      <c r="Z155" s="83"/>
      <c r="AA155" s="83"/>
      <c r="AB155" s="83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39"/>
    </row>
    <row r="156" spans="3:46" ht="12.75">
      <c r="C156" s="10"/>
      <c r="D156" s="39"/>
      <c r="K156" s="10">
        <f>K148+C$11</f>
        <v>280</v>
      </c>
      <c r="L156" s="10">
        <f t="shared" si="84"/>
        <v>0.04446815073264171</v>
      </c>
      <c r="M156" s="59">
        <f t="shared" si="72"/>
        <v>8.362809910573792E-14</v>
      </c>
      <c r="N156" s="39">
        <f t="shared" si="73"/>
        <v>9.656306305535535E-13</v>
      </c>
      <c r="O156" s="39">
        <f t="shared" si="78"/>
        <v>1.1149870972007738E-11</v>
      </c>
      <c r="P156" s="59">
        <f t="shared" si="82"/>
        <v>1.2874448962037772E-10</v>
      </c>
      <c r="Q156" s="59">
        <f t="shared" si="69"/>
        <v>1.486577167504826E-09</v>
      </c>
      <c r="R156" s="39">
        <f t="shared" si="74"/>
        <v>1.7165097173967795E-08</v>
      </c>
      <c r="S156" s="39">
        <f t="shared" si="79"/>
        <v>1.9820065007879933E-07</v>
      </c>
      <c r="T156" s="39">
        <f t="shared" si="64"/>
        <v>2.2885683252195744E-06</v>
      </c>
      <c r="U156" s="39">
        <f t="shared" si="70"/>
        <v>2.6425468216759206E-05</v>
      </c>
      <c r="V156" s="39">
        <f t="shared" si="75"/>
        <v>0.0003051276043513076</v>
      </c>
      <c r="W156" s="39">
        <f t="shared" si="80"/>
        <v>0.003523223974585155</v>
      </c>
      <c r="X156" s="83">
        <f t="shared" si="83"/>
        <v>0.04061086812389523</v>
      </c>
      <c r="Y156" s="83"/>
      <c r="Z156" s="83"/>
      <c r="AA156" s="83"/>
      <c r="AB156" s="83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39"/>
    </row>
    <row r="157" spans="3:46" ht="12.75">
      <c r="C157" s="10"/>
      <c r="D157" s="39"/>
      <c r="K157" s="10">
        <f>K149+C$11</f>
        <v>284</v>
      </c>
      <c r="L157" s="10">
        <f t="shared" si="84"/>
        <v>0.029615750018972785</v>
      </c>
      <c r="M157" s="59">
        <f t="shared" si="72"/>
        <v>5.562573432227537E-14</v>
      </c>
      <c r="N157" s="39">
        <f t="shared" si="73"/>
        <v>6.422950357954241E-13</v>
      </c>
      <c r="O157" s="39">
        <f t="shared" si="78"/>
        <v>7.416403900707553E-12</v>
      </c>
      <c r="P157" s="59">
        <f t="shared" si="82"/>
        <v>8.563517348427571E-11</v>
      </c>
      <c r="Q157" s="59">
        <f t="shared" si="69"/>
        <v>9.888057656868398E-10</v>
      </c>
      <c r="R157" s="39">
        <f t="shared" si="74"/>
        <v>1.1417467875335932E-08</v>
      </c>
      <c r="S157" s="39">
        <f t="shared" si="79"/>
        <v>1.3183435737126665E-07</v>
      </c>
      <c r="T157" s="39">
        <f t="shared" si="64"/>
        <v>1.5222550195249404E-06</v>
      </c>
      <c r="U157" s="39">
        <f t="shared" si="70"/>
        <v>1.7577059506143006E-05</v>
      </c>
      <c r="V157" s="39">
        <f t="shared" si="75"/>
        <v>0.00020295746568030947</v>
      </c>
      <c r="W157" s="39">
        <f t="shared" si="80"/>
        <v>0.002343493904465461</v>
      </c>
      <c r="X157" s="83">
        <f t="shared" si="83"/>
        <v>0.027050054999920834</v>
      </c>
      <c r="Y157" s="83"/>
      <c r="Z157" s="83"/>
      <c r="AA157" s="83"/>
      <c r="AB157" s="83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39"/>
    </row>
    <row r="158" spans="3:46" ht="12.75">
      <c r="C158" s="10"/>
      <c r="D158" s="39"/>
      <c r="J158" s="7" t="s">
        <v>96</v>
      </c>
      <c r="K158" s="48">
        <f>K150+C$11</f>
        <v>288</v>
      </c>
      <c r="L158" s="48">
        <f t="shared" si="84"/>
        <v>0.019704188770464297</v>
      </c>
      <c r="M158" s="53">
        <f t="shared" si="72"/>
        <v>3.699979255752403E-14</v>
      </c>
      <c r="N158" s="52">
        <f t="shared" si="73"/>
        <v>4.2722641551972353E-13</v>
      </c>
      <c r="O158" s="52">
        <f t="shared" si="78"/>
        <v>4.933065768789423E-12</v>
      </c>
      <c r="P158" s="53">
        <f t="shared" si="82"/>
        <v>5.696075194601003E-11</v>
      </c>
      <c r="Q158" s="53">
        <f>P150</f>
        <v>6.577101166545149E-10</v>
      </c>
      <c r="R158" s="52">
        <f t="shared" si="74"/>
        <v>7.594397594324541E-09</v>
      </c>
      <c r="S158" s="52">
        <f t="shared" si="79"/>
        <v>8.769041764789824E-08</v>
      </c>
      <c r="T158" s="52">
        <f t="shared" si="64"/>
        <v>1.0125371040633229E-06</v>
      </c>
      <c r="U158" s="52">
        <f t="shared" si="70"/>
        <v>1.1691487104343986E-05</v>
      </c>
      <c r="V158" s="52">
        <f t="shared" si="75"/>
        <v>0.00013499838194812528</v>
      </c>
      <c r="W158" s="52">
        <f t="shared" si="80"/>
        <v>0.001558789131765134</v>
      </c>
      <c r="X158" s="52">
        <f t="shared" si="83"/>
        <v>0.017997601227659227</v>
      </c>
      <c r="Y158" s="83"/>
      <c r="Z158" s="83"/>
      <c r="AA158" s="83"/>
      <c r="AB158" s="83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39"/>
    </row>
    <row r="159" spans="3:46" ht="12.75">
      <c r="C159" s="10"/>
      <c r="D159" s="39"/>
      <c r="M159" s="59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39"/>
    </row>
    <row r="160" spans="3:46" ht="12.75">
      <c r="C160" s="10"/>
      <c r="D160" s="39"/>
      <c r="M160" s="59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39"/>
    </row>
    <row r="161" spans="3:46" ht="12.75">
      <c r="C161" s="10"/>
      <c r="D161" s="39"/>
      <c r="J161" s="7"/>
      <c r="M161" s="59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39"/>
    </row>
    <row r="162" spans="3:46" ht="12.75">
      <c r="C162" s="10"/>
      <c r="D162" s="39"/>
      <c r="M162" s="59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39"/>
    </row>
    <row r="163" spans="3:46" ht="12.75">
      <c r="C163" s="10"/>
      <c r="D163" s="39"/>
      <c r="M163" s="59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39"/>
    </row>
    <row r="164" spans="3:46" ht="12.75">
      <c r="C164" s="10"/>
      <c r="D164" s="39"/>
      <c r="M164" s="59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39"/>
    </row>
    <row r="165" spans="3:46" ht="12.75">
      <c r="C165" s="10"/>
      <c r="D165" s="39"/>
      <c r="M165" s="59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39"/>
    </row>
    <row r="166" spans="3:46" ht="12.75">
      <c r="C166" s="10"/>
      <c r="D166" s="39"/>
      <c r="J166" s="7"/>
      <c r="M166" s="59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39"/>
    </row>
    <row r="167" spans="3:46" ht="12.75">
      <c r="C167" s="10"/>
      <c r="D167" s="39"/>
      <c r="M167" s="59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39"/>
    </row>
    <row r="168" spans="3:46" ht="12.75">
      <c r="C168" s="10"/>
      <c r="D168" s="39"/>
      <c r="M168" s="59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39"/>
    </row>
    <row r="169" spans="3:46" ht="12.75">
      <c r="C169" s="10"/>
      <c r="D169" s="39"/>
      <c r="J169" s="7"/>
      <c r="M169" s="59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39"/>
    </row>
    <row r="170" spans="3:46" ht="12.75">
      <c r="C170" s="10"/>
      <c r="D170" s="39"/>
      <c r="M170" s="59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39"/>
    </row>
    <row r="171" spans="3:46" ht="12.75">
      <c r="C171" s="10"/>
      <c r="D171" s="39"/>
      <c r="M171" s="59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39"/>
    </row>
    <row r="172" spans="3:46" ht="12.75">
      <c r="C172" s="10"/>
      <c r="D172" s="39"/>
      <c r="M172" s="59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39"/>
    </row>
    <row r="173" spans="3:46" ht="12.75">
      <c r="C173" s="10"/>
      <c r="D173" s="39"/>
      <c r="M173" s="59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39"/>
    </row>
    <row r="174" spans="3:46" ht="12.75">
      <c r="C174" s="10"/>
      <c r="D174" s="39"/>
      <c r="J174" s="7"/>
      <c r="M174" s="59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39"/>
    </row>
    <row r="175" spans="3:46" ht="12.75">
      <c r="C175" s="10"/>
      <c r="D175" s="39"/>
      <c r="J175" s="10"/>
      <c r="M175" s="59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39"/>
    </row>
    <row r="176" spans="3:46" ht="12.75">
      <c r="C176" s="10"/>
      <c r="D176" s="39"/>
      <c r="J176" s="10"/>
      <c r="M176" s="59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39"/>
    </row>
    <row r="177" spans="3:46" ht="12.75">
      <c r="C177" s="10"/>
      <c r="D177" s="39"/>
      <c r="J177" s="10"/>
      <c r="M177" s="59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39"/>
    </row>
    <row r="178" spans="3:46" ht="12.75">
      <c r="C178" s="10"/>
      <c r="D178" s="39"/>
      <c r="J178" s="10"/>
      <c r="M178" s="59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39"/>
    </row>
    <row r="179" spans="3:46" ht="12.75">
      <c r="C179" s="10"/>
      <c r="D179" s="39"/>
      <c r="J179" s="10"/>
      <c r="M179" s="59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39"/>
    </row>
    <row r="180" spans="3:46" ht="12.75">
      <c r="C180" s="10"/>
      <c r="D180" s="39"/>
      <c r="J180" s="10"/>
      <c r="M180" s="59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39"/>
    </row>
    <row r="181" spans="3:46" ht="12.75">
      <c r="C181" s="10"/>
      <c r="D181" s="39"/>
      <c r="J181" s="10"/>
      <c r="M181" s="59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39"/>
    </row>
    <row r="182" spans="3:46" ht="12.75">
      <c r="C182" s="10"/>
      <c r="D182" s="39"/>
      <c r="J182" s="10"/>
      <c r="M182" s="59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39"/>
    </row>
    <row r="183" spans="3:46" ht="12.75">
      <c r="C183" s="10"/>
      <c r="D183" s="39"/>
      <c r="J183" s="10"/>
      <c r="M183" s="59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39"/>
    </row>
    <row r="184" spans="3:46" ht="12.75">
      <c r="C184" s="10"/>
      <c r="D184" s="39"/>
      <c r="J184" s="10"/>
      <c r="M184" s="59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39"/>
    </row>
    <row r="185" spans="3:46" ht="12.75">
      <c r="C185" s="10"/>
      <c r="D185" s="39"/>
      <c r="J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39"/>
    </row>
    <row r="186" spans="3:46" ht="12.75">
      <c r="C186" s="10"/>
      <c r="D186" s="39"/>
      <c r="J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39"/>
    </row>
    <row r="187" spans="3:46" ht="12.75">
      <c r="C187" s="10"/>
      <c r="D187" s="39"/>
      <c r="J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39"/>
    </row>
    <row r="188" spans="3:46" ht="12.75">
      <c r="C188" s="10"/>
      <c r="D188" s="39"/>
      <c r="J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39"/>
    </row>
    <row r="189" spans="3:46" ht="12.75">
      <c r="C189" s="10"/>
      <c r="D189" s="39"/>
      <c r="J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39"/>
    </row>
    <row r="190" spans="3:46" ht="12.75">
      <c r="C190" s="10"/>
      <c r="D190" s="39"/>
      <c r="J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39"/>
    </row>
    <row r="191" spans="3:46" ht="12.75">
      <c r="C191" s="10"/>
      <c r="D191" s="39"/>
      <c r="J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39"/>
    </row>
    <row r="192" spans="3:46" ht="12.75">
      <c r="C192" s="10"/>
      <c r="D192" s="39"/>
      <c r="J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39"/>
    </row>
    <row r="193" spans="3:46" ht="12.75">
      <c r="C193" s="10"/>
      <c r="D193" s="39"/>
      <c r="J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39"/>
    </row>
    <row r="194" spans="3:46" ht="12.75">
      <c r="C194" s="10"/>
      <c r="D194" s="39"/>
      <c r="J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39"/>
    </row>
    <row r="195" spans="3:46" ht="12.75">
      <c r="C195" s="10"/>
      <c r="D195" s="39"/>
      <c r="J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39"/>
    </row>
    <row r="196" spans="3:46" ht="12.75">
      <c r="C196" s="10"/>
      <c r="D196" s="10"/>
      <c r="J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39"/>
    </row>
    <row r="197" spans="3:46" ht="12.75">
      <c r="C197" s="10"/>
      <c r="D197" s="10"/>
      <c r="J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39"/>
    </row>
    <row r="198" spans="3:46" ht="12.75">
      <c r="C198" s="10"/>
      <c r="D198" s="10"/>
      <c r="J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39"/>
    </row>
    <row r="199" spans="3:46" ht="12.75">
      <c r="C199" s="10"/>
      <c r="D199" s="10"/>
      <c r="J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39"/>
    </row>
    <row r="200" spans="3:46" ht="12.75">
      <c r="C200" s="10"/>
      <c r="D200" s="10"/>
      <c r="J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39"/>
    </row>
    <row r="201" spans="3:46" ht="12.75">
      <c r="C201" s="10"/>
      <c r="D201" s="10"/>
      <c r="J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39"/>
    </row>
    <row r="202" spans="3:46" ht="12.75">
      <c r="C202" s="10"/>
      <c r="D202" s="10"/>
      <c r="J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39"/>
    </row>
    <row r="203" spans="3:46" ht="12.75">
      <c r="C203" s="10"/>
      <c r="D203" s="10"/>
      <c r="J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39"/>
    </row>
    <row r="204" spans="3:46" ht="12.75">
      <c r="C204" s="10"/>
      <c r="D204" s="10"/>
      <c r="J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39"/>
    </row>
    <row r="205" spans="3:46" ht="12.75">
      <c r="C205" s="10"/>
      <c r="D205" s="10"/>
      <c r="J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39"/>
    </row>
    <row r="206" spans="3:46" ht="12.75">
      <c r="C206" s="10"/>
      <c r="D206" s="10"/>
      <c r="J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39"/>
    </row>
    <row r="207" spans="3:46" ht="12.75">
      <c r="C207" s="10"/>
      <c r="D207" s="10"/>
      <c r="J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39"/>
    </row>
    <row r="208" spans="3:46" ht="12.75">
      <c r="C208" s="10"/>
      <c r="D208" s="10"/>
      <c r="J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39"/>
    </row>
    <row r="209" spans="3:46" ht="12.75">
      <c r="C209" s="10"/>
      <c r="D209" s="10"/>
      <c r="J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39"/>
    </row>
    <row r="210" spans="3:46" ht="12.75">
      <c r="C210" s="10"/>
      <c r="D210" s="10"/>
      <c r="J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39"/>
    </row>
    <row r="211" spans="3:46" ht="12.75">
      <c r="C211" s="10"/>
      <c r="D211" s="10"/>
      <c r="J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39"/>
    </row>
    <row r="212" spans="3:46" ht="12.75">
      <c r="C212" s="10"/>
      <c r="D212" s="10"/>
      <c r="J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39"/>
    </row>
    <row r="213" spans="3:46" ht="12.75">
      <c r="C213" s="10"/>
      <c r="D213" s="10"/>
      <c r="J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39"/>
    </row>
    <row r="214" spans="3:46" ht="12.75">
      <c r="C214" s="10"/>
      <c r="D214" s="10"/>
      <c r="J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39"/>
    </row>
    <row r="215" spans="3:46" ht="12.75">
      <c r="C215" s="10"/>
      <c r="D215" s="10"/>
      <c r="J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39"/>
    </row>
    <row r="216" spans="3:46" ht="12.75">
      <c r="C216" s="10"/>
      <c r="D216" s="10"/>
      <c r="J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39"/>
    </row>
    <row r="217" spans="3:46" ht="12.75">
      <c r="C217" s="10"/>
      <c r="D217" s="10"/>
      <c r="J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39"/>
    </row>
    <row r="218" spans="3:46" ht="12.75">
      <c r="C218" s="10"/>
      <c r="D218" s="10"/>
      <c r="J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39"/>
    </row>
    <row r="219" spans="3:46" ht="12.75">
      <c r="C219" s="10"/>
      <c r="D219" s="10"/>
      <c r="J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39"/>
    </row>
    <row r="220" spans="3:46" ht="12.75">
      <c r="C220" s="10"/>
      <c r="D220" s="10"/>
      <c r="J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39"/>
    </row>
    <row r="221" spans="3:46" ht="12.75">
      <c r="C221" s="10"/>
      <c r="D221" s="10"/>
      <c r="J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39"/>
    </row>
    <row r="222" spans="3:46" ht="12.75">
      <c r="C222" s="10"/>
      <c r="D222" s="10"/>
      <c r="J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39"/>
    </row>
    <row r="223" spans="3:46" ht="12.75">
      <c r="C223" s="10"/>
      <c r="D223" s="10"/>
      <c r="J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39"/>
    </row>
    <row r="224" spans="3:46" ht="12.75">
      <c r="C224" s="10"/>
      <c r="D224" s="10"/>
      <c r="J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39"/>
    </row>
    <row r="225" spans="3:46" ht="12.75">
      <c r="C225" s="10"/>
      <c r="D225" s="10"/>
      <c r="J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39"/>
    </row>
    <row r="226" spans="3:46" ht="12.75">
      <c r="C226" s="10"/>
      <c r="D226" s="10"/>
      <c r="J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39"/>
    </row>
    <row r="227" spans="3:46" ht="12.75">
      <c r="C227" s="10"/>
      <c r="D227" s="10"/>
      <c r="J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39"/>
    </row>
    <row r="228" spans="3:46" ht="12.75">
      <c r="C228" s="10"/>
      <c r="D228" s="10"/>
      <c r="J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39"/>
    </row>
    <row r="229" spans="3:46" ht="12.75">
      <c r="C229" s="10"/>
      <c r="D229" s="10"/>
      <c r="J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39"/>
    </row>
    <row r="230" spans="3:46" ht="12.75">
      <c r="C230" s="10"/>
      <c r="D230" s="10"/>
      <c r="J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39"/>
    </row>
    <row r="231" spans="3:46" ht="12.75">
      <c r="C231" s="10"/>
      <c r="D231" s="10"/>
      <c r="J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39"/>
    </row>
    <row r="232" spans="3:46" ht="12.75">
      <c r="C232" s="10"/>
      <c r="D232" s="10"/>
      <c r="J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39"/>
    </row>
    <row r="233" spans="3:46" ht="12.75">
      <c r="C233" s="10"/>
      <c r="D233" s="10"/>
      <c r="J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39"/>
    </row>
    <row r="234" spans="3:46" ht="12.75">
      <c r="C234" s="10"/>
      <c r="D234" s="10"/>
      <c r="J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39"/>
    </row>
    <row r="235" spans="3:46" ht="12.75">
      <c r="C235" s="10"/>
      <c r="D235" s="10"/>
      <c r="J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39"/>
    </row>
    <row r="236" spans="3:46" ht="12.75">
      <c r="C236" s="10"/>
      <c r="D236" s="10"/>
      <c r="J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39"/>
    </row>
    <row r="237" spans="3:46" ht="12.75">
      <c r="C237" s="10"/>
      <c r="D237" s="10"/>
      <c r="J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39"/>
    </row>
    <row r="238" spans="3:46" ht="12.75">
      <c r="C238" s="10"/>
      <c r="D238" s="10"/>
      <c r="J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39"/>
    </row>
    <row r="239" spans="3:46" ht="12.75">
      <c r="C239" s="10"/>
      <c r="D239" s="10"/>
      <c r="J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39"/>
    </row>
    <row r="240" spans="3:46" ht="12.75">
      <c r="C240" s="10"/>
      <c r="D240" s="10"/>
      <c r="J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39"/>
    </row>
    <row r="241" spans="3:46" ht="12.75">
      <c r="C241" s="10"/>
      <c r="D241" s="10"/>
      <c r="J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39"/>
    </row>
    <row r="242" spans="3:46" ht="12.75">
      <c r="C242" s="10"/>
      <c r="D242" s="10"/>
      <c r="J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39"/>
    </row>
    <row r="243" spans="3:46" ht="12.75">
      <c r="C243" s="10"/>
      <c r="D243" s="10"/>
      <c r="J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39"/>
    </row>
    <row r="244" spans="3:46" ht="12.75">
      <c r="C244" s="10"/>
      <c r="D244" s="10"/>
      <c r="J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39"/>
    </row>
    <row r="245" spans="3:46" ht="12.75">
      <c r="C245" s="10"/>
      <c r="D245" s="10"/>
      <c r="J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39"/>
    </row>
    <row r="246" spans="3:46" ht="12.75">
      <c r="C246" s="10"/>
      <c r="D246" s="10"/>
      <c r="J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39"/>
    </row>
    <row r="247" spans="3:46" ht="12.75">
      <c r="C247" s="10"/>
      <c r="D247" s="10"/>
      <c r="J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39"/>
    </row>
    <row r="248" spans="3:46" ht="12.75">
      <c r="C248" s="10"/>
      <c r="D248" s="10"/>
      <c r="J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39"/>
    </row>
    <row r="249" spans="3:46" ht="12.75">
      <c r="C249" s="10"/>
      <c r="D249" s="10"/>
      <c r="J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39"/>
    </row>
    <row r="250" spans="3:46" ht="12.75">
      <c r="C250" s="10"/>
      <c r="D250" s="10"/>
      <c r="J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39"/>
    </row>
    <row r="251" spans="3:46" ht="12.75">
      <c r="C251" s="10"/>
      <c r="D251" s="10"/>
      <c r="J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39"/>
    </row>
    <row r="252" spans="3:46" ht="12.75">
      <c r="C252" s="10"/>
      <c r="D252" s="10"/>
      <c r="J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39"/>
    </row>
    <row r="253" spans="3:46" ht="12.75">
      <c r="C253" s="10"/>
      <c r="D253" s="10"/>
      <c r="J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39"/>
    </row>
    <row r="254" spans="3:46" ht="12.75">
      <c r="C254" s="10"/>
      <c r="D254" s="10"/>
      <c r="J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39"/>
    </row>
    <row r="255" spans="3:46" ht="12.75">
      <c r="C255" s="10"/>
      <c r="D255" s="10"/>
      <c r="J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39"/>
    </row>
    <row r="256" spans="3:46" ht="12.75">
      <c r="C256" s="10"/>
      <c r="D256" s="10"/>
      <c r="J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39"/>
    </row>
    <row r="257" spans="3:46" ht="12.75">
      <c r="C257" s="10"/>
      <c r="D257" s="10"/>
      <c r="J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39"/>
    </row>
    <row r="258" spans="3:46" ht="12.75">
      <c r="C258" s="10"/>
      <c r="D258" s="10"/>
      <c r="J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39"/>
    </row>
    <row r="259" spans="3:46" ht="12.75">
      <c r="C259" s="10"/>
      <c r="D259" s="10"/>
      <c r="J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39"/>
    </row>
    <row r="260" spans="3:46" ht="12.75">
      <c r="C260" s="10"/>
      <c r="D260" s="10"/>
      <c r="J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39"/>
    </row>
    <row r="261" spans="3:46" ht="12.75">
      <c r="C261" s="10"/>
      <c r="D261" s="10"/>
      <c r="J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39"/>
    </row>
    <row r="262" spans="3:46" ht="12.75">
      <c r="C262" s="10"/>
      <c r="D262" s="10"/>
      <c r="J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39"/>
    </row>
    <row r="263" spans="3:46" ht="12.75">
      <c r="C263" s="10"/>
      <c r="D263" s="10"/>
      <c r="J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39"/>
    </row>
    <row r="264" spans="3:46" ht="12.75">
      <c r="C264" s="10"/>
      <c r="D264" s="10"/>
      <c r="J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39"/>
    </row>
    <row r="265" spans="3:46" ht="12.75">
      <c r="C265" s="10"/>
      <c r="D265" s="10"/>
      <c r="J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39"/>
    </row>
    <row r="266" spans="3:46" ht="12.75">
      <c r="C266" s="10"/>
      <c r="D266" s="10"/>
      <c r="J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39"/>
    </row>
    <row r="267" spans="3:46" ht="12.75">
      <c r="C267" s="10"/>
      <c r="D267" s="10"/>
      <c r="J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39"/>
    </row>
    <row r="268" spans="3:46" ht="12.75">
      <c r="C268" s="10"/>
      <c r="D268" s="10"/>
      <c r="J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39"/>
    </row>
    <row r="269" spans="3:46" ht="12.75">
      <c r="C269" s="10"/>
      <c r="D269" s="10"/>
      <c r="J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39"/>
    </row>
    <row r="270" spans="3:46" ht="12.75">
      <c r="C270" s="10"/>
      <c r="D270" s="10"/>
      <c r="J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39"/>
    </row>
    <row r="271" spans="3:46" ht="12.75">
      <c r="C271" s="10"/>
      <c r="D271" s="10"/>
      <c r="J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39"/>
    </row>
    <row r="272" spans="3:46" ht="12.75">
      <c r="C272" s="10"/>
      <c r="D272" s="10"/>
      <c r="J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39"/>
    </row>
    <row r="273" spans="3:46" ht="12.75">
      <c r="C273" s="10"/>
      <c r="D273" s="10"/>
      <c r="J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39"/>
    </row>
    <row r="274" spans="3:46" ht="12.75">
      <c r="C274" s="10"/>
      <c r="D274" s="10"/>
      <c r="J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39"/>
    </row>
    <row r="275" spans="3:46" ht="12.75">
      <c r="C275" s="10"/>
      <c r="D275" s="10"/>
      <c r="J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39"/>
    </row>
    <row r="276" spans="3:46" ht="12.75">
      <c r="C276" s="10"/>
      <c r="D276" s="10"/>
      <c r="J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39"/>
    </row>
    <row r="277" spans="3:46" ht="12.75">
      <c r="C277" s="10"/>
      <c r="D277" s="10"/>
      <c r="J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39"/>
    </row>
    <row r="278" spans="3:46" ht="12.75">
      <c r="C278" s="10"/>
      <c r="D278" s="10"/>
      <c r="J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39"/>
    </row>
    <row r="279" spans="3:46" ht="12.75">
      <c r="C279" s="10"/>
      <c r="D279" s="10"/>
      <c r="J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39"/>
    </row>
    <row r="280" spans="3:46" ht="12.75">
      <c r="C280" s="10"/>
      <c r="D280" s="10"/>
      <c r="J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39"/>
    </row>
    <row r="281" spans="3:46" ht="12.75">
      <c r="C281" s="10"/>
      <c r="D281" s="10"/>
      <c r="J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39"/>
    </row>
    <row r="282" spans="3:46" ht="12.75">
      <c r="C282" s="10"/>
      <c r="D282" s="10"/>
      <c r="J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39"/>
    </row>
    <row r="283" spans="3:28" ht="12.75">
      <c r="C283" s="10"/>
      <c r="D283" s="10"/>
      <c r="J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spans="3:28" ht="12.75">
      <c r="C284" s="10"/>
      <c r="D284" s="10"/>
      <c r="J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spans="3:28" ht="12.75">
      <c r="C285" s="10"/>
      <c r="D285" s="10"/>
      <c r="J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spans="3:28" ht="12.75">
      <c r="C286" s="10"/>
      <c r="D286" s="10"/>
      <c r="J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spans="3:28" ht="12.75">
      <c r="C287" s="10"/>
      <c r="D287" s="10"/>
      <c r="J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spans="3:28" ht="12.75">
      <c r="C288" s="10"/>
      <c r="D288" s="10"/>
      <c r="J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spans="3:28" ht="12.75">
      <c r="C289" s="10"/>
      <c r="D289" s="10"/>
      <c r="J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spans="3:28" ht="12.75">
      <c r="C290" s="10"/>
      <c r="D290" s="10"/>
      <c r="J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spans="3:28" ht="12.75">
      <c r="C291" s="10"/>
      <c r="D291" s="10"/>
      <c r="J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3:28" ht="12.75">
      <c r="C292" s="10"/>
      <c r="D292" s="10"/>
      <c r="J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spans="3:28" ht="12.75">
      <c r="C293" s="10"/>
      <c r="D293" s="10"/>
      <c r="J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spans="3:28" ht="12.75">
      <c r="C294" s="10"/>
      <c r="D294" s="10"/>
      <c r="J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spans="3:28" ht="12.75">
      <c r="C295" s="10"/>
      <c r="D295" s="10"/>
      <c r="J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spans="3:28" ht="12.75">
      <c r="C296" s="10"/>
      <c r="D296" s="10"/>
      <c r="J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3:28" ht="12.75">
      <c r="C297" s="10"/>
      <c r="D297" s="10"/>
      <c r="J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spans="3:28" ht="12.75">
      <c r="C298" s="10"/>
      <c r="D298" s="10"/>
      <c r="J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spans="3:28" ht="12.75">
      <c r="C299" s="10"/>
      <c r="D299" s="10"/>
      <c r="J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spans="3:28" ht="12.75">
      <c r="C300" s="10"/>
      <c r="D300" s="10"/>
      <c r="J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spans="3:28" ht="12.75">
      <c r="C301" s="10"/>
      <c r="D301" s="10"/>
      <c r="J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spans="3:28" ht="12.75">
      <c r="C302" s="10"/>
      <c r="D302" s="10"/>
      <c r="J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spans="3:28" ht="12.75">
      <c r="C303" s="10"/>
      <c r="D303" s="10"/>
      <c r="J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spans="3:28" ht="12.75">
      <c r="C304" s="10"/>
      <c r="D304" s="10"/>
      <c r="J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spans="3:28" ht="12.75">
      <c r="C305" s="10"/>
      <c r="D305" s="10"/>
      <c r="J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0:28" ht="12.75">
      <c r="J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spans="10:28" ht="12.75">
      <c r="J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spans="10:28" ht="12.75">
      <c r="J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spans="10:28" ht="12.75">
      <c r="J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spans="10:28" ht="12.75">
      <c r="J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99" spans="10:16" ht="12.75">
      <c r="J399" s="7" t="s">
        <v>100</v>
      </c>
      <c r="K399" s="7" t="s">
        <v>100</v>
      </c>
      <c r="L399" s="7"/>
      <c r="M399" s="7" t="s">
        <v>100</v>
      </c>
      <c r="N399" s="7" t="s">
        <v>100</v>
      </c>
      <c r="O399" s="7" t="s">
        <v>100</v>
      </c>
      <c r="P399" s="7"/>
    </row>
  </sheetData>
  <sheetProtection/>
  <printOptions/>
  <pageMargins left="0.5" right="0.5" top="0.9840277777777777" bottom="0.9840277777777777" header="0.5118055555555555" footer="0.5118055555555555"/>
  <pageSetup horizontalDpi="300" verticalDpi="300" orientation="landscape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371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3.421875" style="0" customWidth="1"/>
    <col min="2" max="2" width="14.57421875" style="0" customWidth="1"/>
    <col min="3" max="3" width="13.57421875" style="0" customWidth="1"/>
    <col min="4" max="4" width="13.8515625" style="0" customWidth="1"/>
    <col min="5" max="5" width="11.28125" style="0" customWidth="1"/>
    <col min="6" max="6" width="6.8515625" style="0" customWidth="1"/>
    <col min="7" max="7" width="9.140625" style="39" customWidth="1"/>
    <col min="8" max="9" width="9.00390625" style="39" customWidth="1"/>
    <col min="11" max="11" width="8.8515625" style="0" customWidth="1"/>
    <col min="12" max="20" width="6.00390625" style="0" customWidth="1"/>
    <col min="21" max="22" width="7.7109375" style="0" customWidth="1"/>
    <col min="23" max="23" width="8.8515625" style="0" customWidth="1"/>
    <col min="24" max="24" width="7.7109375" style="0" customWidth="1"/>
    <col min="25" max="25" width="3.28125" style="0" customWidth="1"/>
    <col min="26" max="42" width="7.7109375" style="0" customWidth="1"/>
    <col min="43" max="43" width="6.00390625" style="0" customWidth="1"/>
    <col min="44" max="44" width="3.57421875" style="0" customWidth="1"/>
    <col min="45" max="45" width="5.00390625" style="0" customWidth="1"/>
    <col min="46" max="46" width="7.421875" style="0" customWidth="1"/>
    <col min="47" max="51" width="5.57421875" style="0" customWidth="1"/>
    <col min="52" max="72" width="6.00390625" style="0" customWidth="1"/>
  </cols>
  <sheetData>
    <row r="1" spans="2:71" ht="12.75">
      <c r="B1" s="21" t="s">
        <v>16</v>
      </c>
      <c r="AP1" s="20"/>
      <c r="AQ1" s="39"/>
      <c r="AR1" s="44"/>
      <c r="AS1" s="44"/>
      <c r="AT1" s="45" t="s">
        <v>48</v>
      </c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</row>
    <row r="2" spans="2:72" ht="12.75">
      <c r="B2" t="s">
        <v>79</v>
      </c>
      <c r="C2" s="72"/>
      <c r="AP2" s="7" t="s">
        <v>49</v>
      </c>
      <c r="AQ2" t="s">
        <v>50</v>
      </c>
      <c r="AT2" s="48">
        <v>0.25</v>
      </c>
      <c r="AU2" s="48">
        <v>0.5</v>
      </c>
      <c r="AV2" s="48">
        <v>1</v>
      </c>
      <c r="AW2" s="48">
        <v>1.5</v>
      </c>
      <c r="AX2" s="48">
        <v>2</v>
      </c>
      <c r="AY2" s="48">
        <v>2.5</v>
      </c>
      <c r="AZ2" s="48">
        <v>3</v>
      </c>
      <c r="BA2" s="48">
        <v>4</v>
      </c>
      <c r="BB2" s="48">
        <v>5</v>
      </c>
      <c r="BC2" s="48">
        <v>6</v>
      </c>
      <c r="BD2" s="49">
        <v>7</v>
      </c>
      <c r="BE2" s="49">
        <v>8</v>
      </c>
      <c r="BF2" s="48">
        <v>9</v>
      </c>
      <c r="BG2" s="48">
        <v>10</v>
      </c>
      <c r="BH2" s="48">
        <v>12</v>
      </c>
      <c r="BI2" s="48">
        <v>14</v>
      </c>
      <c r="BJ2" s="48">
        <v>16</v>
      </c>
      <c r="BK2" s="48">
        <v>18</v>
      </c>
      <c r="BL2" s="48">
        <v>20</v>
      </c>
      <c r="BM2" s="48">
        <v>24</v>
      </c>
      <c r="BN2" s="48">
        <f aca="true" t="shared" si="0" ref="BN2:BS2">BM2+8</f>
        <v>32</v>
      </c>
      <c r="BO2" s="48">
        <f t="shared" si="0"/>
        <v>40</v>
      </c>
      <c r="BP2" s="48">
        <f t="shared" si="0"/>
        <v>48</v>
      </c>
      <c r="BQ2" s="48">
        <f t="shared" si="0"/>
        <v>56</v>
      </c>
      <c r="BR2" s="48">
        <f t="shared" si="0"/>
        <v>64</v>
      </c>
      <c r="BS2" s="50">
        <f t="shared" si="0"/>
        <v>72</v>
      </c>
      <c r="BT2">
        <v>72</v>
      </c>
    </row>
    <row r="3" spans="2:72" ht="12.75">
      <c r="B3" t="s">
        <v>80</v>
      </c>
      <c r="G3"/>
      <c r="H3"/>
      <c r="I3"/>
      <c r="AP3" s="7"/>
      <c r="AT3" s="48">
        <v>4</v>
      </c>
      <c r="AU3" s="48">
        <v>5</v>
      </c>
      <c r="AV3" s="48">
        <v>6</v>
      </c>
      <c r="AW3" s="48">
        <v>7</v>
      </c>
      <c r="AX3" s="48">
        <v>8</v>
      </c>
      <c r="AY3" s="48">
        <v>9</v>
      </c>
      <c r="AZ3" s="48">
        <v>10</v>
      </c>
      <c r="BA3" s="48">
        <f aca="true" t="shared" si="1" ref="BA3:BS3">AZ3+1</f>
        <v>11</v>
      </c>
      <c r="BB3" s="48">
        <f t="shared" si="1"/>
        <v>12</v>
      </c>
      <c r="BC3" s="48">
        <f t="shared" si="1"/>
        <v>13</v>
      </c>
      <c r="BD3" s="49">
        <f t="shared" si="1"/>
        <v>14</v>
      </c>
      <c r="BE3" s="49">
        <f t="shared" si="1"/>
        <v>15</v>
      </c>
      <c r="BF3" s="48">
        <f t="shared" si="1"/>
        <v>16</v>
      </c>
      <c r="BG3" s="48">
        <f t="shared" si="1"/>
        <v>17</v>
      </c>
      <c r="BH3" s="48">
        <f t="shared" si="1"/>
        <v>18</v>
      </c>
      <c r="BI3" s="48">
        <f t="shared" si="1"/>
        <v>19</v>
      </c>
      <c r="BJ3" s="48">
        <f t="shared" si="1"/>
        <v>20</v>
      </c>
      <c r="BK3" s="48">
        <f t="shared" si="1"/>
        <v>21</v>
      </c>
      <c r="BL3" s="48">
        <f t="shared" si="1"/>
        <v>22</v>
      </c>
      <c r="BM3" s="48">
        <f t="shared" si="1"/>
        <v>23</v>
      </c>
      <c r="BN3" s="48">
        <f t="shared" si="1"/>
        <v>24</v>
      </c>
      <c r="BO3" s="48">
        <f t="shared" si="1"/>
        <v>25</v>
      </c>
      <c r="BP3" s="48">
        <f t="shared" si="1"/>
        <v>26</v>
      </c>
      <c r="BQ3" s="48">
        <f t="shared" si="1"/>
        <v>27</v>
      </c>
      <c r="BR3" s="48">
        <f t="shared" si="1"/>
        <v>28</v>
      </c>
      <c r="BS3" s="48">
        <f t="shared" si="1"/>
        <v>29</v>
      </c>
      <c r="BT3">
        <v>30</v>
      </c>
    </row>
    <row r="4" spans="2:72" ht="12.75">
      <c r="B4" s="97"/>
      <c r="C4" s="98" t="s">
        <v>101</v>
      </c>
      <c r="D4" s="98" t="s">
        <v>102</v>
      </c>
      <c r="E4" s="99"/>
      <c r="G4"/>
      <c r="H4"/>
      <c r="I4"/>
      <c r="AP4" s="7"/>
      <c r="AT4" s="48">
        <v>0.5</v>
      </c>
      <c r="AU4" s="48">
        <v>1</v>
      </c>
      <c r="AV4" s="48">
        <v>1.5</v>
      </c>
      <c r="AW4" s="48">
        <v>2</v>
      </c>
      <c r="AX4" s="48">
        <v>2.5</v>
      </c>
      <c r="AY4" s="48">
        <v>3</v>
      </c>
      <c r="AZ4" s="48">
        <v>4</v>
      </c>
      <c r="BA4" s="48">
        <v>5</v>
      </c>
      <c r="BB4" s="48">
        <v>6</v>
      </c>
      <c r="BC4" s="48">
        <v>7</v>
      </c>
      <c r="BD4" s="49">
        <v>8</v>
      </c>
      <c r="BE4" s="49">
        <v>9</v>
      </c>
      <c r="BF4" s="48">
        <v>10</v>
      </c>
      <c r="BG4" s="48">
        <v>12</v>
      </c>
      <c r="BH4" s="48">
        <v>14</v>
      </c>
      <c r="BI4" s="48">
        <v>16</v>
      </c>
      <c r="BJ4" s="48">
        <v>18</v>
      </c>
      <c r="BK4" s="48">
        <v>20</v>
      </c>
      <c r="BL4" s="48">
        <v>24</v>
      </c>
      <c r="BM4" s="48">
        <f aca="true" t="shared" si="2" ref="BM4:BR4">BL4+8</f>
        <v>32</v>
      </c>
      <c r="BN4" s="48">
        <f t="shared" si="2"/>
        <v>40</v>
      </c>
      <c r="BO4" s="48">
        <f t="shared" si="2"/>
        <v>48</v>
      </c>
      <c r="BP4" s="48">
        <f t="shared" si="2"/>
        <v>56</v>
      </c>
      <c r="BQ4" s="48">
        <f t="shared" si="2"/>
        <v>64</v>
      </c>
      <c r="BR4" s="50">
        <f t="shared" si="2"/>
        <v>72</v>
      </c>
      <c r="BS4" s="50">
        <v>72</v>
      </c>
      <c r="BT4">
        <v>72</v>
      </c>
    </row>
    <row r="5" spans="2:72" ht="12.75">
      <c r="B5" s="100" t="s">
        <v>19</v>
      </c>
      <c r="C5" s="25">
        <v>70</v>
      </c>
      <c r="D5" s="25">
        <v>70</v>
      </c>
      <c r="E5" s="101" t="s">
        <v>20</v>
      </c>
      <c r="G5"/>
      <c r="H5"/>
      <c r="I5"/>
      <c r="AP5" s="51" t="s">
        <v>51</v>
      </c>
      <c r="AQ5" s="45" t="s">
        <v>50</v>
      </c>
      <c r="AT5" s="48">
        <f aca="true" t="shared" si="3" ref="AT5:BT5">LN(2)/AT2</f>
        <v>2.772588722239781</v>
      </c>
      <c r="AU5" s="48">
        <f t="shared" si="3"/>
        <v>1.3862943611198906</v>
      </c>
      <c r="AV5" s="48">
        <f t="shared" si="3"/>
        <v>0.6931471805599453</v>
      </c>
      <c r="AW5" s="48">
        <f t="shared" si="3"/>
        <v>0.46209812037329684</v>
      </c>
      <c r="AX5" s="48">
        <f t="shared" si="3"/>
        <v>0.34657359027997264</v>
      </c>
      <c r="AY5" s="48">
        <f t="shared" si="3"/>
        <v>0.2772588722239781</v>
      </c>
      <c r="AZ5" s="52">
        <f t="shared" si="3"/>
        <v>0.23104906018664842</v>
      </c>
      <c r="BA5" s="52">
        <f t="shared" si="3"/>
        <v>0.17328679513998632</v>
      </c>
      <c r="BB5" s="52">
        <f t="shared" si="3"/>
        <v>0.13862943611198905</v>
      </c>
      <c r="BC5" s="52">
        <f t="shared" si="3"/>
        <v>0.11552453009332421</v>
      </c>
      <c r="BD5" s="53">
        <f t="shared" si="3"/>
        <v>0.09902102579427789</v>
      </c>
      <c r="BE5" s="53">
        <f t="shared" si="3"/>
        <v>0.08664339756999316</v>
      </c>
      <c r="BF5" s="52">
        <f t="shared" si="3"/>
        <v>0.07701635339554948</v>
      </c>
      <c r="BG5" s="52">
        <f t="shared" si="3"/>
        <v>0.06931471805599453</v>
      </c>
      <c r="BH5" s="52">
        <f t="shared" si="3"/>
        <v>0.057762265046662105</v>
      </c>
      <c r="BI5" s="52">
        <f t="shared" si="3"/>
        <v>0.049510512897138946</v>
      </c>
      <c r="BJ5" s="52">
        <f t="shared" si="3"/>
        <v>0.04332169878499658</v>
      </c>
      <c r="BK5" s="52">
        <f t="shared" si="3"/>
        <v>0.03850817669777474</v>
      </c>
      <c r="BL5" s="52">
        <f t="shared" si="3"/>
        <v>0.03465735902799726</v>
      </c>
      <c r="BM5" s="52">
        <f t="shared" si="3"/>
        <v>0.028881132523331052</v>
      </c>
      <c r="BN5" s="52">
        <f t="shared" si="3"/>
        <v>0.02166084939249829</v>
      </c>
      <c r="BO5" s="52">
        <f t="shared" si="3"/>
        <v>0.01732867951399863</v>
      </c>
      <c r="BP5" s="52">
        <f t="shared" si="3"/>
        <v>0.014440566261665526</v>
      </c>
      <c r="BQ5" s="52">
        <f t="shared" si="3"/>
        <v>0.012377628224284737</v>
      </c>
      <c r="BR5" s="52">
        <f t="shared" si="3"/>
        <v>0.010830424696249145</v>
      </c>
      <c r="BS5" s="52">
        <f t="shared" si="3"/>
        <v>0.009627044174443685</v>
      </c>
      <c r="BT5" s="52">
        <f t="shared" si="3"/>
        <v>0.009627044174443685</v>
      </c>
    </row>
    <row r="6" spans="2:72" ht="12.75">
      <c r="B6" s="100" t="s">
        <v>21</v>
      </c>
      <c r="C6" s="28">
        <v>1</v>
      </c>
      <c r="D6" s="28">
        <v>1</v>
      </c>
      <c r="E6" s="101" t="s">
        <v>22</v>
      </c>
      <c r="G6"/>
      <c r="H6"/>
      <c r="I6"/>
      <c r="AP6" s="7" t="s">
        <v>52</v>
      </c>
      <c r="AQ6" s="54">
        <v>0.1</v>
      </c>
      <c r="AR6">
        <v>5</v>
      </c>
      <c r="AS6" s="54">
        <v>0.25</v>
      </c>
      <c r="AT6" s="20">
        <v>1.39093510710338</v>
      </c>
      <c r="AU6" s="20">
        <v>1.51982799377572</v>
      </c>
      <c r="AV6" s="20">
        <v>1.61961500574281</v>
      </c>
      <c r="AW6" s="20">
        <v>1.66838591669</v>
      </c>
      <c r="AX6" s="20">
        <v>1.69983772586725</v>
      </c>
      <c r="AY6" s="20">
        <v>1.7222224639697299</v>
      </c>
      <c r="AZ6" s="20">
        <v>1.73980959902136</v>
      </c>
      <c r="BA6" s="20">
        <v>1.7664128471124</v>
      </c>
      <c r="BB6" s="20">
        <v>1.78532983501077</v>
      </c>
      <c r="BC6" s="20">
        <v>1.80037335489135</v>
      </c>
      <c r="BD6" s="34">
        <v>1.81257915540905</v>
      </c>
      <c r="BE6" s="34">
        <v>1.8228216453031</v>
      </c>
      <c r="BF6" s="20">
        <v>1.8318697742805001</v>
      </c>
      <c r="BG6" s="20">
        <v>1.8394780473742</v>
      </c>
      <c r="BH6" s="20">
        <v>1.85247999363686</v>
      </c>
      <c r="BI6" s="20">
        <v>1.86332286012046</v>
      </c>
      <c r="BJ6" s="20">
        <v>1.8722728462242</v>
      </c>
      <c r="BK6" s="20">
        <v>1.88024177589548</v>
      </c>
      <c r="BL6" s="20">
        <v>1.88705437805096</v>
      </c>
      <c r="BM6" s="20">
        <v>1.89872518158949</v>
      </c>
      <c r="BN6" s="20">
        <v>1.91645394854992</v>
      </c>
      <c r="BO6" s="20">
        <v>1.92941892571429</v>
      </c>
      <c r="BP6" s="20">
        <v>1.94001815500766</v>
      </c>
      <c r="BQ6" s="20">
        <v>1.94816836172713</v>
      </c>
      <c r="BR6" s="20">
        <v>1.95568775031351</v>
      </c>
      <c r="BS6" s="20">
        <v>1.96175321418678</v>
      </c>
      <c r="BT6" s="20">
        <v>1.96175321418678</v>
      </c>
    </row>
    <row r="7" spans="2:72" ht="12.75">
      <c r="B7" s="100" t="s">
        <v>25</v>
      </c>
      <c r="C7" s="28">
        <f>80/70</f>
        <v>1.1428571428571428</v>
      </c>
      <c r="D7" s="102">
        <v>1.14</v>
      </c>
      <c r="E7" s="101" t="s">
        <v>26</v>
      </c>
      <c r="G7"/>
      <c r="H7"/>
      <c r="I7"/>
      <c r="AP7" s="55" t="s">
        <v>53</v>
      </c>
      <c r="AQ7" s="54">
        <v>0.25</v>
      </c>
      <c r="AR7">
        <v>6</v>
      </c>
      <c r="AS7" s="54">
        <v>0.5</v>
      </c>
      <c r="AT7" s="20">
        <v>0.743901550485179</v>
      </c>
      <c r="AU7" s="20">
        <v>0.9425041061680811</v>
      </c>
      <c r="AV7" s="20">
        <v>1.08457627793433</v>
      </c>
      <c r="AW7" s="20">
        <v>1.15075643986031</v>
      </c>
      <c r="AX7" s="20">
        <v>1.19214912501853</v>
      </c>
      <c r="AY7" s="20">
        <v>1.22167499707077</v>
      </c>
      <c r="AZ7" s="20">
        <v>1.24427712080184</v>
      </c>
      <c r="BA7" s="20">
        <v>1.27760921430409</v>
      </c>
      <c r="BB7" s="20">
        <v>1.30168094929358</v>
      </c>
      <c r="BC7" s="20">
        <v>1.32035403281767</v>
      </c>
      <c r="BD7" s="34">
        <v>1.33545790068938</v>
      </c>
      <c r="BE7" s="34">
        <v>1.34811006848024</v>
      </c>
      <c r="BF7" s="20">
        <v>1.35888620440587</v>
      </c>
      <c r="BG7" s="20">
        <v>1.36828688490213</v>
      </c>
      <c r="BH7" s="20">
        <v>1.38399478944173</v>
      </c>
      <c r="BI7" s="20">
        <v>1.39689644914252</v>
      </c>
      <c r="BJ7" s="20">
        <v>1.40756084948636</v>
      </c>
      <c r="BK7" s="20">
        <v>1.41697317260304</v>
      </c>
      <c r="BL7" s="20">
        <v>1.42504487455139</v>
      </c>
      <c r="BM7" s="20">
        <v>1.43870053290074</v>
      </c>
      <c r="BN7" s="20">
        <v>1.45924166487808</v>
      </c>
      <c r="BO7" s="20">
        <v>1.47450763911698</v>
      </c>
      <c r="BP7" s="20">
        <v>1.48643047885443</v>
      </c>
      <c r="BQ7" s="20">
        <v>1.4963760540124</v>
      </c>
      <c r="BR7" s="20">
        <v>1.50474263627169</v>
      </c>
      <c r="BS7" s="20">
        <v>1.51201696949613</v>
      </c>
      <c r="BT7" s="20">
        <v>1.51201696949613</v>
      </c>
    </row>
    <row r="8" spans="1:72" ht="12.75">
      <c r="A8" s="78"/>
      <c r="B8" s="100" t="s">
        <v>27</v>
      </c>
      <c r="C8" s="102">
        <v>0.66</v>
      </c>
      <c r="D8" s="102">
        <v>0.7</v>
      </c>
      <c r="E8" s="101" t="s">
        <v>28</v>
      </c>
      <c r="G8"/>
      <c r="H8"/>
      <c r="I8"/>
      <c r="AQ8" s="54">
        <v>0.5</v>
      </c>
      <c r="AR8">
        <v>7</v>
      </c>
      <c r="AS8" s="54">
        <v>0.75</v>
      </c>
      <c r="AT8" s="20">
        <v>0.14176323027578802</v>
      </c>
      <c r="AU8" s="20">
        <v>0.44294986957786203</v>
      </c>
      <c r="AV8" s="20">
        <v>0.6414741105040991</v>
      </c>
      <c r="AW8" s="20">
        <v>0.72965066833592</v>
      </c>
      <c r="AX8" s="20">
        <v>0.7834747875822461</v>
      </c>
      <c r="AY8" s="20">
        <v>0.8211858826088451</v>
      </c>
      <c r="AZ8" s="20">
        <v>0.849726444196328</v>
      </c>
      <c r="BA8" s="20">
        <v>0.8911470304487711</v>
      </c>
      <c r="BB8" s="20">
        <v>0.9206450014067871</v>
      </c>
      <c r="BC8" s="20">
        <v>0.9433460983565911</v>
      </c>
      <c r="BD8" s="34">
        <v>0.961516011448949</v>
      </c>
      <c r="BE8" s="34">
        <v>0.97657921864011</v>
      </c>
      <c r="BF8" s="20">
        <v>0.989494312772709</v>
      </c>
      <c r="BG8" s="20">
        <v>1.00065095362959</v>
      </c>
      <c r="BH8" s="20">
        <v>1.01932403715369</v>
      </c>
      <c r="BI8" s="20">
        <v>1.0344279050254</v>
      </c>
      <c r="BJ8" s="20">
        <v>1.03742649794062</v>
      </c>
      <c r="BK8" s="20">
        <v>1.05785620874189</v>
      </c>
      <c r="BL8" s="20">
        <v>1.06725688923815</v>
      </c>
      <c r="BM8" s="20">
        <v>1.08296479377775</v>
      </c>
      <c r="BN8" s="20">
        <v>1.10663278892012</v>
      </c>
      <c r="BO8" s="20">
        <v>1.12401487888741</v>
      </c>
      <c r="BP8" s="20">
        <v>1.13767053723676</v>
      </c>
      <c r="BQ8" s="20">
        <v>1.14875685132179</v>
      </c>
      <c r="BR8" s="20">
        <v>1.1582116692141</v>
      </c>
      <c r="BS8" s="20">
        <v>1.16631168065959</v>
      </c>
      <c r="BT8" s="20">
        <v>1.16631168065959</v>
      </c>
    </row>
    <row r="9" spans="2:72" ht="12.75">
      <c r="B9" s="100" t="s">
        <v>85</v>
      </c>
      <c r="C9" s="28">
        <v>1.28</v>
      </c>
      <c r="D9" s="28">
        <v>1.28</v>
      </c>
      <c r="E9" s="101" t="s">
        <v>24</v>
      </c>
      <c r="G9"/>
      <c r="H9"/>
      <c r="I9"/>
      <c r="AQ9" s="54">
        <v>0.75</v>
      </c>
      <c r="AR9">
        <v>8</v>
      </c>
      <c r="AS9" s="54">
        <v>1</v>
      </c>
      <c r="AT9" s="20">
        <v>-0.295163393788596</v>
      </c>
      <c r="AU9" s="20">
        <v>0.107752498740162</v>
      </c>
      <c r="AV9" s="20">
        <v>0.358296608355735</v>
      </c>
      <c r="AW9" s="20">
        <v>0.46545721057571304</v>
      </c>
      <c r="AX9" s="20">
        <v>0.529622818133443</v>
      </c>
      <c r="AY9" s="20">
        <v>0.57399652277935</v>
      </c>
      <c r="AZ9" s="20">
        <v>0.607347776768413</v>
      </c>
      <c r="BA9" s="20">
        <v>0.6553785755318511</v>
      </c>
      <c r="BB9" s="20">
        <v>0.6892200372638351</v>
      </c>
      <c r="BC9" s="20">
        <v>0.7150418210700431</v>
      </c>
      <c r="BD9" s="34">
        <v>0.7356787259059051</v>
      </c>
      <c r="BE9" s="34">
        <v>0.752701320223626</v>
      </c>
      <c r="BF9" s="20">
        <v>0.7672300981107181</v>
      </c>
      <c r="BG9" s="20">
        <v>0.779704690689162</v>
      </c>
      <c r="BH9" s="20">
        <v>0.8005108768943681</v>
      </c>
      <c r="BI9" s="20">
        <v>0.8173008783933211</v>
      </c>
      <c r="BJ9" s="20">
        <v>0.8312937443770091</v>
      </c>
      <c r="BK9" s="20">
        <v>0.8432327780980091</v>
      </c>
      <c r="BL9" s="20">
        <v>0.8535765436196411</v>
      </c>
      <c r="BM9" s="20">
        <v>0.870901127691986</v>
      </c>
      <c r="BN9" s="20">
        <v>0.896801697664922</v>
      </c>
      <c r="BO9" s="20">
        <v>0.915716337945994</v>
      </c>
      <c r="BP9" s="20">
        <v>0.9304905653062691</v>
      </c>
      <c r="BQ9" s="20">
        <v>0.9426032488421571</v>
      </c>
      <c r="BR9" s="20">
        <v>0.952792443044092</v>
      </c>
      <c r="BS9" s="20">
        <v>0.961563462362069</v>
      </c>
      <c r="BT9" s="20">
        <v>0.961563462362069</v>
      </c>
    </row>
    <row r="10" spans="2:72" ht="12.75">
      <c r="B10" s="100" t="s">
        <v>29</v>
      </c>
      <c r="C10" s="25">
        <v>35</v>
      </c>
      <c r="D10" s="25">
        <v>140</v>
      </c>
      <c r="E10" s="101" t="s">
        <v>30</v>
      </c>
      <c r="G10"/>
      <c r="H10"/>
      <c r="I10"/>
      <c r="AQ10" s="54">
        <v>1</v>
      </c>
      <c r="AR10">
        <v>9</v>
      </c>
      <c r="AS10" s="54">
        <v>2</v>
      </c>
      <c r="AT10" s="20">
        <v>-0.667965722972482</v>
      </c>
      <c r="AU10" s="20">
        <v>-0.159204101152906</v>
      </c>
      <c r="AV10" s="20">
        <v>0.14182589451107502</v>
      </c>
      <c r="AW10" s="20">
        <v>0.266819454909126</v>
      </c>
      <c r="AX10" s="20">
        <v>0.34052343078991504</v>
      </c>
      <c r="AY10" s="20">
        <v>0.3910233693701</v>
      </c>
      <c r="AZ10" s="20">
        <v>0.42863685926860906</v>
      </c>
      <c r="BA10" s="34">
        <v>0.482430491568179</v>
      </c>
      <c r="BB10" s="34">
        <v>0.520103440670984</v>
      </c>
      <c r="BC10" s="20">
        <v>0.548671894086594</v>
      </c>
      <c r="BD10" s="34">
        <v>0.57135939275384</v>
      </c>
      <c r="BE10" s="34">
        <v>0.59011703478479</v>
      </c>
      <c r="BF10" s="20">
        <v>0.605951157564873</v>
      </c>
      <c r="BG10" s="20">
        <v>0.619615005742806</v>
      </c>
      <c r="BH10" s="20">
        <v>0.642266618902673</v>
      </c>
      <c r="BI10" s="20">
        <v>0.660486015784968</v>
      </c>
      <c r="BJ10" s="20">
        <v>0.6755950563867461</v>
      </c>
      <c r="BK10" s="20">
        <v>0.688464317108728</v>
      </c>
      <c r="BL10" s="20">
        <v>0.6996383033798631</v>
      </c>
      <c r="BM10" s="20">
        <v>0.7182940414897091</v>
      </c>
      <c r="BN10" s="20">
        <v>0.7459721348545241</v>
      </c>
      <c r="BO10" s="20">
        <v>0.7661748123123031</v>
      </c>
      <c r="BP10" s="20">
        <v>0.781970673912552</v>
      </c>
      <c r="BQ10" s="20">
        <v>0.7947667979408211</v>
      </c>
      <c r="BR10" s="20">
        <v>0.805568817548556</v>
      </c>
      <c r="BS10" s="20">
        <v>0.8148466686044631</v>
      </c>
      <c r="BT10" s="20">
        <v>0.8148466686044631</v>
      </c>
    </row>
    <row r="11" spans="2:72" ht="12.75">
      <c r="B11" s="103" t="s">
        <v>103</v>
      </c>
      <c r="C11" s="80">
        <v>12</v>
      </c>
      <c r="D11" s="80">
        <v>24</v>
      </c>
      <c r="E11" s="101" t="s">
        <v>24</v>
      </c>
      <c r="G11"/>
      <c r="H11"/>
      <c r="I11"/>
      <c r="AQ11" s="56">
        <v>2</v>
      </c>
      <c r="AR11" s="6">
        <v>10</v>
      </c>
      <c r="AS11" s="56">
        <v>3</v>
      </c>
      <c r="AT11" s="20">
        <v>-1.95573470008468</v>
      </c>
      <c r="AU11" s="20">
        <v>-0.968995718636463</v>
      </c>
      <c r="AV11" s="20">
        <v>-0.460209033654259</v>
      </c>
      <c r="AW11" s="20">
        <v>-0.267686672528757</v>
      </c>
      <c r="AX11" s="20">
        <v>-0.159172772425614</v>
      </c>
      <c r="AY11" s="20">
        <v>-0.08695478716117269</v>
      </c>
      <c r="AZ11" s="34">
        <v>-0.034234035817313796</v>
      </c>
      <c r="BA11" s="34">
        <v>0.0394537789617364</v>
      </c>
      <c r="BB11" s="34">
        <v>0.0899757226877289</v>
      </c>
      <c r="BC11" s="39">
        <v>0.127623049598029</v>
      </c>
      <c r="BD11" s="35">
        <v>0.157245462845403</v>
      </c>
      <c r="BE11" s="35">
        <v>0.18141479625428403</v>
      </c>
      <c r="BF11" s="39">
        <v>0.20169747573922803</v>
      </c>
      <c r="BG11" s="20">
        <v>0.21908655716925202</v>
      </c>
      <c r="BH11" s="20">
        <v>0.24760506415077</v>
      </c>
      <c r="BI11" s="20">
        <v>0.27032939708985804</v>
      </c>
      <c r="BJ11" s="20">
        <v>0.28907587889822</v>
      </c>
      <c r="BK11" s="20">
        <v>0.304921161900892</v>
      </c>
      <c r="BL11" s="20">
        <v>0.31860586405505603</v>
      </c>
      <c r="BM11" s="20">
        <v>0.341236623238692</v>
      </c>
      <c r="BN11" s="20">
        <v>0.374565060722765</v>
      </c>
      <c r="BO11" s="20">
        <v>0.39863432453839204</v>
      </c>
      <c r="BP11" s="20">
        <v>0.417239121467381</v>
      </c>
      <c r="BQ11" s="20">
        <v>0.43232779226160406</v>
      </c>
      <c r="BR11" s="20">
        <v>0.44494993404981803</v>
      </c>
      <c r="BS11" s="20">
        <v>0.45574299644849</v>
      </c>
      <c r="BT11" s="20">
        <v>0.45574299644849</v>
      </c>
    </row>
    <row r="12" spans="2:72" ht="12.75">
      <c r="B12" s="100" t="s">
        <v>55</v>
      </c>
      <c r="C12" s="38">
        <f>LN(2)/C13</f>
        <v>6.671541612889475</v>
      </c>
      <c r="D12" s="38">
        <f>LN(2)/D13</f>
        <v>7.093611496958505</v>
      </c>
      <c r="E12" s="101" t="s">
        <v>24</v>
      </c>
      <c r="F12" s="41"/>
      <c r="G12"/>
      <c r="H12"/>
      <c r="I12"/>
      <c r="AQ12" s="56">
        <v>3</v>
      </c>
      <c r="AR12" s="6">
        <v>11</v>
      </c>
      <c r="AS12" s="56">
        <v>4</v>
      </c>
      <c r="AT12" s="20">
        <v>-3.16857818293498</v>
      </c>
      <c r="AU12" s="20">
        <v>-1.63404427733432</v>
      </c>
      <c r="AV12" s="20">
        <v>-0.8971548357545821</v>
      </c>
      <c r="AW12" s="20">
        <v>-0.636294027145276</v>
      </c>
      <c r="AX12" s="20">
        <v>-0.49425327693553506</v>
      </c>
      <c r="AY12" s="20">
        <v>-0.40175680834637706</v>
      </c>
      <c r="AZ12" s="34">
        <v>-0.335264031481295</v>
      </c>
      <c r="BA12" s="20">
        <v>-0.24379764218170702</v>
      </c>
      <c r="BB12" s="20">
        <v>-0.18208442757245502</v>
      </c>
      <c r="BC12" s="39">
        <v>-0.13661765155921202</v>
      </c>
      <c r="BD12" s="35">
        <v>-0.10119257345582401</v>
      </c>
      <c r="BE12" s="35">
        <v>-0.07245000145906101</v>
      </c>
      <c r="BF12" s="39">
        <v>-0.0484682094576519</v>
      </c>
      <c r="BG12" s="20">
        <v>-0.0280287236002435</v>
      </c>
      <c r="BH12" s="20">
        <v>0.0053092368485165705</v>
      </c>
      <c r="BI12" s="20">
        <v>0.0316911686251464</v>
      </c>
      <c r="BJ12" s="20">
        <v>0.0533089811240999</v>
      </c>
      <c r="BK12" s="20">
        <v>0.0715322226215185</v>
      </c>
      <c r="BL12" s="20">
        <v>0.08717781176115649</v>
      </c>
      <c r="BM12" s="20">
        <v>0.112973459333154</v>
      </c>
      <c r="BN12" s="20">
        <v>0.150664353529561</v>
      </c>
      <c r="BO12" s="20">
        <v>0.177680759848778</v>
      </c>
      <c r="BP12" s="20">
        <v>0.19847013517223203</v>
      </c>
      <c r="BQ12" s="20">
        <v>0.215254115449999</v>
      </c>
      <c r="BR12" s="20">
        <v>0.22923375304904703</v>
      </c>
      <c r="BS12" s="20">
        <v>0.24115284739780402</v>
      </c>
      <c r="BT12" s="20">
        <v>0.24115284739780402</v>
      </c>
    </row>
    <row r="13" spans="2:72" ht="14.25">
      <c r="B13" s="100" t="s">
        <v>34</v>
      </c>
      <c r="C13" s="39">
        <f>(C7/C8)*(60/1000)</f>
        <v>0.10389610389610388</v>
      </c>
      <c r="D13" s="39">
        <f>(D7/D8)*(60/1000)</f>
        <v>0.09771428571428571</v>
      </c>
      <c r="E13" s="101" t="s">
        <v>35</v>
      </c>
      <c r="G13"/>
      <c r="H13"/>
      <c r="I13"/>
      <c r="AQ13" s="54">
        <v>4</v>
      </c>
      <c r="AR13">
        <v>12</v>
      </c>
      <c r="AS13" s="54">
        <v>5</v>
      </c>
      <c r="AT13" s="20">
        <v>-4.3735569746687</v>
      </c>
      <c r="AU13" s="20">
        <v>-2.25676469574866</v>
      </c>
      <c r="AV13" s="20">
        <v>-1.26999336582314</v>
      </c>
      <c r="AW13" s="20">
        <v>-0.9373240228092571</v>
      </c>
      <c r="AX13" s="20">
        <v>-0.76123902931824</v>
      </c>
      <c r="AY13" s="20">
        <v>-0.648609584857747</v>
      </c>
      <c r="AZ13" s="20">
        <v>-0.5686362358410131</v>
      </c>
      <c r="BA13" s="20">
        <v>-0.46029676105217404</v>
      </c>
      <c r="BB13" s="20">
        <v>-0.387905205274422</v>
      </c>
      <c r="BC13" s="20">
        <v>-0.335264031481295</v>
      </c>
      <c r="BD13" s="34">
        <v>-0.294452719813228</v>
      </c>
      <c r="BE13" s="34">
        <v>-0.26156828517971403</v>
      </c>
      <c r="BF13" s="20">
        <v>-0.23424951061534802</v>
      </c>
      <c r="BG13" s="20">
        <v>-0.211054272976252</v>
      </c>
      <c r="BH13" s="20">
        <v>-0.173413420390923</v>
      </c>
      <c r="BI13" s="20">
        <v>-0.143796930169763</v>
      </c>
      <c r="BJ13" s="20">
        <v>-0.11962663965209601</v>
      </c>
      <c r="BK13" s="20">
        <v>-0.0993379790060363</v>
      </c>
      <c r="BL13" s="20">
        <v>-0.08194343849472879</v>
      </c>
      <c r="BM13" s="20">
        <v>-0.0534151087352513</v>
      </c>
      <c r="BN13" s="20">
        <v>-0.0119541167657612</v>
      </c>
      <c r="BO13" s="20">
        <v>0.0175758683910744</v>
      </c>
      <c r="BP13" s="20">
        <v>0.0402185041985111</v>
      </c>
      <c r="BQ13" s="20">
        <v>0.0584108390697802</v>
      </c>
      <c r="BR13" s="20">
        <v>0.0735350650587839</v>
      </c>
      <c r="BS13" s="20">
        <v>0.0864167835935765</v>
      </c>
      <c r="BT13" s="20">
        <v>0.0864167835935765</v>
      </c>
    </row>
    <row r="14" spans="2:72" ht="14.25">
      <c r="B14" s="100" t="s">
        <v>36</v>
      </c>
      <c r="C14" s="39">
        <f>C75</f>
        <v>2.627939410594542</v>
      </c>
      <c r="D14" s="39">
        <f>F75</f>
        <v>2.6870533101944782</v>
      </c>
      <c r="E14" s="101" t="s">
        <v>35</v>
      </c>
      <c r="G14" s="41"/>
      <c r="H14" s="41"/>
      <c r="I14" s="41"/>
      <c r="AQ14" s="54">
        <v>5</v>
      </c>
      <c r="AR14">
        <v>13</v>
      </c>
      <c r="AS14" s="54">
        <v>6</v>
      </c>
      <c r="AT14" s="20">
        <v>-5.5775743236288005</v>
      </c>
      <c r="AU14" s="20">
        <v>-2.86518562967954</v>
      </c>
      <c r="AV14" s="20">
        <v>-1.61118858652648</v>
      </c>
      <c r="AW14" s="20">
        <v>-1.20252471246267</v>
      </c>
      <c r="AX14" s="20">
        <v>-0.9911869909479111</v>
      </c>
      <c r="AY14" s="20">
        <v>-0.858236769724212</v>
      </c>
      <c r="AZ14" s="20">
        <v>-0.764850463526756</v>
      </c>
      <c r="BA14" s="20">
        <v>-0.639595945270061</v>
      </c>
      <c r="BB14" s="20">
        <v>-0.557050130422138</v>
      </c>
      <c r="BC14" s="20">
        <v>-0.49743633089263706</v>
      </c>
      <c r="BD14" s="34">
        <v>-0.45148774365896405</v>
      </c>
      <c r="BE14" s="34">
        <v>-0.41476493663422503</v>
      </c>
      <c r="BF14" s="20">
        <v>-0.38431291806516904</v>
      </c>
      <c r="BG14" s="20">
        <v>-0.35852588949590003</v>
      </c>
      <c r="BH14" s="20">
        <v>-0.316763787530139</v>
      </c>
      <c r="BI14" s="20">
        <v>-0.28424728317714</v>
      </c>
      <c r="BJ14" s="20">
        <v>-0.257667717642852</v>
      </c>
      <c r="BK14" s="20">
        <v>-0.23545028093553302</v>
      </c>
      <c r="BL14" s="20">
        <v>-0.21652521241775402</v>
      </c>
      <c r="BM14" s="20">
        <v>-0.18548604763176202</v>
      </c>
      <c r="BN14" s="20">
        <v>-0.140621495574399</v>
      </c>
      <c r="BO14" s="20">
        <v>-0.10890877353227602</v>
      </c>
      <c r="BP14" s="20">
        <v>-0.0846265504301881</v>
      </c>
      <c r="BQ14" s="20">
        <v>-0.06514819703433909</v>
      </c>
      <c r="BR14" s="20">
        <v>-0.0489540518641802</v>
      </c>
      <c r="BS14" s="20">
        <v>-0.0353020526641884</v>
      </c>
      <c r="BT14" s="20">
        <v>-0.0353020526641884</v>
      </c>
    </row>
    <row r="15" spans="2:72" ht="12.75">
      <c r="B15" s="100" t="s">
        <v>39</v>
      </c>
      <c r="C15" s="83">
        <f>((C6*C10)/(C8*C5))*(C14/(C14-C13))</f>
        <v>0.7887595211068262</v>
      </c>
      <c r="D15" s="83">
        <f>((D6*D10)/(D8*D5))*(D14/(D14-D13))</f>
        <v>2.964963297351699</v>
      </c>
      <c r="E15" s="101" t="s">
        <v>40</v>
      </c>
      <c r="G15"/>
      <c r="H15"/>
      <c r="I15"/>
      <c r="AQ15" s="54">
        <v>6</v>
      </c>
      <c r="AR15">
        <v>14</v>
      </c>
      <c r="AS15" s="54">
        <v>7</v>
      </c>
      <c r="AT15" s="20">
        <v>-6.78172714642855</v>
      </c>
      <c r="AU15" s="20">
        <v>-3.46986436175454</v>
      </c>
      <c r="AV15" s="20">
        <v>-1.93498078586375</v>
      </c>
      <c r="AW15" s="20">
        <v>-1.44611697335613</v>
      </c>
      <c r="AX15" s="20">
        <v>-1.19811629287476</v>
      </c>
      <c r="AY15" s="20">
        <v>-1.04431224968649</v>
      </c>
      <c r="AZ15" s="20">
        <v>-0.9372676367946061</v>
      </c>
      <c r="BA15" s="20">
        <v>-0.7953374882517811</v>
      </c>
      <c r="BB15" s="20">
        <v>-0.7027868040103581</v>
      </c>
      <c r="BC15" s="20">
        <v>-0.636294027145276</v>
      </c>
      <c r="BD15" s="34">
        <v>-0.5854611638032</v>
      </c>
      <c r="BE15" s="34">
        <v>-0.544850478820172</v>
      </c>
      <c r="BF15" s="20">
        <v>-0.5113083016830591</v>
      </c>
      <c r="BG15" s="20">
        <v>-0.48313423850218606</v>
      </c>
      <c r="BH15" s="20">
        <v>-0.437707135543525</v>
      </c>
      <c r="BI15" s="20">
        <v>-0.402195157595707</v>
      </c>
      <c r="BJ15" s="20">
        <v>-0.373454340972871</v>
      </c>
      <c r="BK15" s="20">
        <v>-0.34949820512163304</v>
      </c>
      <c r="BL15" s="20">
        <v>-0.32910504647979</v>
      </c>
      <c r="BM15" s="20">
        <v>-0.295677859177765</v>
      </c>
      <c r="BN15" s="20">
        <v>-0.24772101453988102</v>
      </c>
      <c r="BO15" s="20">
        <v>-0.21388771628017303</v>
      </c>
      <c r="BP15" s="20">
        <v>-0.188090019579901</v>
      </c>
      <c r="BQ15" s="20">
        <v>-0.16742722515382</v>
      </c>
      <c r="BR15" s="20">
        <v>-0.150334944521267</v>
      </c>
      <c r="BS15" s="20">
        <v>-0.13590442657575202</v>
      </c>
      <c r="BT15" s="20">
        <v>-0.13590442657575202</v>
      </c>
    </row>
    <row r="16" spans="2:72" ht="12.75">
      <c r="B16" s="104" t="s">
        <v>93</v>
      </c>
      <c r="C16" s="52">
        <f>1/(1-EXP(-C13*C11))</f>
        <v>1.403383735770853</v>
      </c>
      <c r="D16" s="52">
        <f>1/(1-EXP(-D13*D11))</f>
        <v>1.105991000307965</v>
      </c>
      <c r="E16" s="105" t="s">
        <v>38</v>
      </c>
      <c r="G16"/>
      <c r="H16"/>
      <c r="I16"/>
      <c r="AQ16" s="54">
        <v>7</v>
      </c>
      <c r="AR16">
        <v>15</v>
      </c>
      <c r="AS16" s="54">
        <v>8</v>
      </c>
      <c r="AT16" s="20">
        <v>-7.98632030270881</v>
      </c>
      <c r="AU16" s="20">
        <v>-4.07237303755505</v>
      </c>
      <c r="AV16" s="20">
        <v>-2.24910607961787</v>
      </c>
      <c r="AW16" s="20">
        <v>-1.67604699245708</v>
      </c>
      <c r="AX16" s="20">
        <v>-1.389872386924</v>
      </c>
      <c r="AY16" s="20">
        <v>-1.21445663004341</v>
      </c>
      <c r="AZ16" s="20">
        <v>-1.09366495819491</v>
      </c>
      <c r="BA16" s="20">
        <v>-0.9347938719456881</v>
      </c>
      <c r="BB16" s="20">
        <v>-0.83223973356437</v>
      </c>
      <c r="BC16" s="20">
        <v>-0.758951849328355</v>
      </c>
      <c r="BD16" s="20">
        <v>-0.703225153259688</v>
      </c>
      <c r="BE16" s="20">
        <v>-0.6589613683224771</v>
      </c>
      <c r="BF16" s="20">
        <v>-0.622511616623867</v>
      </c>
      <c r="BG16" s="20">
        <v>-0.591946685702019</v>
      </c>
      <c r="BH16" s="20">
        <v>-0.5427238139386741</v>
      </c>
      <c r="BI16" s="20">
        <v>-0.504594436853807</v>
      </c>
      <c r="BJ16" s="20">
        <v>-0.47378999615833606</v>
      </c>
      <c r="BK16" s="20">
        <v>-0.44806230463516306</v>
      </c>
      <c r="BL16" s="20">
        <v>-0.42620041778425904</v>
      </c>
      <c r="BM16" s="20">
        <v>-0.390725827595412</v>
      </c>
      <c r="BN16" s="20">
        <v>-0.33970383972927</v>
      </c>
      <c r="BO16" s="20">
        <v>-0.30390584000477705</v>
      </c>
      <c r="BP16" s="20">
        <v>-0.276708553522416</v>
      </c>
      <c r="BQ16" s="20">
        <v>-0.25500332596144</v>
      </c>
      <c r="BR16" s="20">
        <v>-0.237096471500943</v>
      </c>
      <c r="BS16" s="20">
        <v>-0.221848749616356</v>
      </c>
      <c r="BT16" s="20">
        <v>-0.221848749616356</v>
      </c>
    </row>
    <row r="17" spans="2:72" ht="12.75">
      <c r="B17" s="106" t="s">
        <v>83</v>
      </c>
      <c r="C17" s="88"/>
      <c r="D17" s="88"/>
      <c r="E17" s="99"/>
      <c r="G17"/>
      <c r="H17"/>
      <c r="I17"/>
      <c r="AQ17" s="54">
        <v>8</v>
      </c>
      <c r="AR17">
        <v>16</v>
      </c>
      <c r="AS17" s="54">
        <v>9</v>
      </c>
      <c r="AT17" s="20">
        <v>-9.19044028536473</v>
      </c>
      <c r="AU17" s="20">
        <v>-4.67468962828894</v>
      </c>
      <c r="AV17" s="20">
        <v>-2.55791237044924</v>
      </c>
      <c r="AW17" s="20">
        <v>-1.89670952844225</v>
      </c>
      <c r="AX17" s="20">
        <v>-1.57105570996443</v>
      </c>
      <c r="AY17" s="20">
        <v>-1.37335173152599</v>
      </c>
      <c r="AZ17" s="20">
        <v>-1.23837281543842</v>
      </c>
      <c r="BA17" s="20">
        <v>-1.06228155638274</v>
      </c>
      <c r="BB17" s="20">
        <v>-0.949620243738542</v>
      </c>
      <c r="BC17" s="20">
        <v>-0.8697627521147699</v>
      </c>
      <c r="BD17" s="20">
        <v>-0.8092202290719811</v>
      </c>
      <c r="BE17" s="20">
        <v>-0.761201437286083</v>
      </c>
      <c r="BF17" s="20">
        <v>-0.721932669111337</v>
      </c>
      <c r="BG17" s="20">
        <v>-0.6889882510187111</v>
      </c>
      <c r="BH17" s="20">
        <v>-0.636294027145276</v>
      </c>
      <c r="BI17" s="20">
        <v>-0.5955083822413141</v>
      </c>
      <c r="BJ17" s="20">
        <v>-0.562566556202029</v>
      </c>
      <c r="BK17" s="20">
        <v>-0.535286954242937</v>
      </c>
      <c r="BL17" s="20">
        <v>-0.512084268640233</v>
      </c>
      <c r="BM17" s="20">
        <v>-0.47443694172993306</v>
      </c>
      <c r="BN17" s="20">
        <v>-0.42061659578606403</v>
      </c>
      <c r="BO17" s="20">
        <v>-0.38299965887910103</v>
      </c>
      <c r="BP17" s="20">
        <v>-0.354430370648848</v>
      </c>
      <c r="BQ17" s="20">
        <v>-0.331707289551779</v>
      </c>
      <c r="BR17" s="20">
        <v>-0.313006433735321</v>
      </c>
      <c r="BS17" s="20">
        <v>-0.29713882942707104</v>
      </c>
      <c r="BT17" s="20">
        <v>-0.29713882942707104</v>
      </c>
    </row>
    <row r="18" spans="2:72" ht="12.75">
      <c r="B18" s="100" t="s">
        <v>84</v>
      </c>
      <c r="C18" s="59">
        <f>C$15*(EXP(-C$13*C9)-EXP(-C$14*C9))</f>
        <v>0.663245517511022</v>
      </c>
      <c r="D18" s="59">
        <f>D$15*(EXP(-D$13*D9)-EXP(-D$14*D9))</f>
        <v>2.5212515710324968</v>
      </c>
      <c r="E18" s="101" t="s">
        <v>40</v>
      </c>
      <c r="G18"/>
      <c r="H18"/>
      <c r="I18"/>
      <c r="AQ18" s="54">
        <v>9</v>
      </c>
      <c r="AR18">
        <v>17</v>
      </c>
      <c r="AS18" s="54">
        <v>10</v>
      </c>
      <c r="AT18" s="20">
        <v>-10.3936186348894</v>
      </c>
      <c r="AU18" s="20">
        <v>-5.27687284120431</v>
      </c>
      <c r="AV18" s="20">
        <v>-2.86312096012448</v>
      </c>
      <c r="AW18" s="20">
        <v>-2.11125903931711</v>
      </c>
      <c r="AX18" s="20">
        <v>-1.74448628718047</v>
      </c>
      <c r="AY18" s="20">
        <v>-1.52374820399297</v>
      </c>
      <c r="AZ18" s="20">
        <v>-1.37427609047424</v>
      </c>
      <c r="BA18" s="20">
        <v>-1.18078520011762</v>
      </c>
      <c r="BB18" s="20">
        <v>-1.05799194697769</v>
      </c>
      <c r="BC18" s="20">
        <v>-0.9714287473074621</v>
      </c>
      <c r="BD18" s="20">
        <v>-0.9060882589506221</v>
      </c>
      <c r="BE18" s="20">
        <v>-0.854492828590337</v>
      </c>
      <c r="BF18" s="20">
        <v>-0.812394684581851</v>
      </c>
      <c r="BG18" s="20">
        <v>-0.77715352002585</v>
      </c>
      <c r="BH18" s="20">
        <v>-0.7209036702523991</v>
      </c>
      <c r="BI18" s="20">
        <v>-0.677491272078491</v>
      </c>
      <c r="BJ18" s="20">
        <v>-0.642636969384857</v>
      </c>
      <c r="BK18" s="20">
        <v>-0.613768649420475</v>
      </c>
      <c r="BL18" s="20">
        <v>-0.58922276662279</v>
      </c>
      <c r="BM18" s="20">
        <v>-0.549596913844634</v>
      </c>
      <c r="BN18" s="20">
        <v>-0.49308927444848205</v>
      </c>
      <c r="BO18" s="20">
        <v>-0.453580733164808</v>
      </c>
      <c r="BP18" s="20">
        <v>-0.42383148039219104</v>
      </c>
      <c r="BQ18" s="20">
        <v>-0.40011692792631204</v>
      </c>
      <c r="BR18" s="20">
        <v>-0.38059358911322305</v>
      </c>
      <c r="BS18" s="20">
        <v>-0.364114314718727</v>
      </c>
      <c r="BT18" s="20">
        <v>-0.364114314718727</v>
      </c>
    </row>
    <row r="19" spans="2:72" ht="12.75">
      <c r="B19" s="100" t="s">
        <v>45</v>
      </c>
      <c r="C19" s="59">
        <f>C$15*(EXP(-C$13*24)-EXP(-C$14*24))</f>
        <v>0.06516711636074708</v>
      </c>
      <c r="D19" s="59">
        <f>D$15*(EXP(-D$13*24)-EXP(-D$14*24))</f>
        <v>0.28414284173668947</v>
      </c>
      <c r="E19" s="101" t="s">
        <v>40</v>
      </c>
      <c r="G19"/>
      <c r="H19"/>
      <c r="I19"/>
      <c r="AQ19" s="54">
        <v>10</v>
      </c>
      <c r="AR19">
        <v>18</v>
      </c>
      <c r="AS19" s="54">
        <v>11</v>
      </c>
      <c r="AT19" s="20">
        <v>-11.5985994592185</v>
      </c>
      <c r="AU19" s="20">
        <v>-5.8784401558125</v>
      </c>
      <c r="AV19" s="20">
        <v>-3.16653413982931</v>
      </c>
      <c r="AW19" s="20">
        <v>-2.32148162095989</v>
      </c>
      <c r="AX19" s="20">
        <v>-1.91221858219046</v>
      </c>
      <c r="AY19" s="20">
        <v>-1.66796572297248</v>
      </c>
      <c r="AZ19" s="20">
        <v>-1.50348548130225</v>
      </c>
      <c r="BA19" s="20">
        <v>-1.29217443166777</v>
      </c>
      <c r="BB19" s="20">
        <v>-1.15914144595812</v>
      </c>
      <c r="BC19" s="20">
        <v>-1.06585518820752</v>
      </c>
      <c r="BD19" s="20">
        <v>-0.995764633640532</v>
      </c>
      <c r="BE19" s="20">
        <v>-0.9405880625613431</v>
      </c>
      <c r="BF19" s="20">
        <v>-0.8956836354882721</v>
      </c>
      <c r="BG19" s="20">
        <v>-0.858111450294139</v>
      </c>
      <c r="BH19" s="20">
        <v>-0.798493632946762</v>
      </c>
      <c r="BI19" s="20">
        <v>-0.7525177393229461</v>
      </c>
      <c r="BJ19" s="20">
        <v>-0.7157046517694731</v>
      </c>
      <c r="BK19" s="20">
        <v>-0.6852903070448261</v>
      </c>
      <c r="BL19" s="20">
        <v>-0.659476569210085</v>
      </c>
      <c r="BM19" s="20">
        <v>-0.61785683211575</v>
      </c>
      <c r="BN19" s="20">
        <v>-0.5587291565795011</v>
      </c>
      <c r="BO19" s="20">
        <v>-0.517555208081735</v>
      </c>
      <c r="BP19" s="20">
        <v>-0.48651604329574305</v>
      </c>
      <c r="BQ19" s="20">
        <v>-0.46192921295682804</v>
      </c>
      <c r="BR19" s="20">
        <v>-0.441711530566865</v>
      </c>
      <c r="BS19" s="20">
        <v>-0.424638933844793</v>
      </c>
      <c r="BT19" s="20">
        <v>-0.424638933844793</v>
      </c>
    </row>
    <row r="20" spans="2:72" ht="12.75">
      <c r="B20" s="100" t="s">
        <v>87</v>
      </c>
      <c r="C20" s="59">
        <f>C$15*(EXP(-C$13*C$11)-EXP(-C$14*C$11))</f>
        <v>0.22671829104112548</v>
      </c>
      <c r="D20" s="59">
        <f>D$15*(EXP(-D$13*D$11)-EXP(-D$14*D$11))</f>
        <v>0.28414284173668947</v>
      </c>
      <c r="E20" s="101" t="s">
        <v>40</v>
      </c>
      <c r="G20"/>
      <c r="H20"/>
      <c r="I20"/>
      <c r="AQ20" s="54">
        <v>11</v>
      </c>
      <c r="AR20">
        <v>19</v>
      </c>
      <c r="AS20" s="54">
        <v>12</v>
      </c>
      <c r="AT20" s="20">
        <v>-12.8027194418744</v>
      </c>
      <c r="AU20" s="20">
        <v>-6.48082853617834</v>
      </c>
      <c r="AV20" s="20">
        <v>-3.46903231842808</v>
      </c>
      <c r="AW20" s="20">
        <v>-2.52870828894106</v>
      </c>
      <c r="AX20" s="20">
        <v>-2.07566901529132</v>
      </c>
      <c r="AY20" s="20">
        <v>-1.80715388481116</v>
      </c>
      <c r="AZ20" s="20">
        <v>-1.62745619924093</v>
      </c>
      <c r="BA20" s="20">
        <v>-1.39804859586648</v>
      </c>
      <c r="BB20" s="20">
        <v>-1.25461287867999</v>
      </c>
      <c r="BC20" s="20">
        <v>-1.15452986701833</v>
      </c>
      <c r="BD20" s="20">
        <v>-1.07961575782164</v>
      </c>
      <c r="BE20" s="20">
        <v>-1.02081596632558</v>
      </c>
      <c r="BF20" s="20">
        <v>-0.973140014015438</v>
      </c>
      <c r="BG20" s="20">
        <v>-0.9333759490165741</v>
      </c>
      <c r="BH20" s="20">
        <v>-0.8702456771972271</v>
      </c>
      <c r="BI20" s="20">
        <v>-0.8218867476853681</v>
      </c>
      <c r="BJ20" s="20">
        <v>-0.78314821671562</v>
      </c>
      <c r="BK20" s="20">
        <v>-0.751168807192038</v>
      </c>
      <c r="BL20" s="20">
        <v>-0.7241360492874791</v>
      </c>
      <c r="BM20" s="20">
        <v>-0.6805816109522721</v>
      </c>
      <c r="BN20" s="20">
        <v>-0.618884919290149</v>
      </c>
      <c r="BO20" s="20">
        <v>-0.5760990814715831</v>
      </c>
      <c r="BP20" s="20">
        <v>-0.543861803449709</v>
      </c>
      <c r="BQ20" s="20">
        <v>-0.5183710804924221</v>
      </c>
      <c r="BR20" s="20">
        <v>-0.49743633089263706</v>
      </c>
      <c r="BS20" s="20">
        <v>-0.47977856411804</v>
      </c>
      <c r="BT20" s="20">
        <v>-0.47977856411804</v>
      </c>
    </row>
    <row r="21" spans="2:72" ht="12.75">
      <c r="B21" s="100" t="s">
        <v>104</v>
      </c>
      <c r="C21" s="41">
        <f>C23-(C19/C13)</f>
        <v>6.664433171694476</v>
      </c>
      <c r="D21" s="41">
        <f>D23-(D19/D13)</f>
        <v>26.331871502694703</v>
      </c>
      <c r="E21" s="101" t="s">
        <v>47</v>
      </c>
      <c r="G21"/>
      <c r="H21"/>
      <c r="I21"/>
      <c r="AQ21" s="54">
        <v>12</v>
      </c>
      <c r="AR21">
        <v>20</v>
      </c>
      <c r="AS21">
        <v>12</v>
      </c>
      <c r="AT21" s="20">
        <v>-14.0065637695024</v>
      </c>
      <c r="AU21" s="20">
        <v>-7.08301995267962</v>
      </c>
      <c r="AV21" s="20">
        <v>-3.7705741520793</v>
      </c>
      <c r="AW21" s="20">
        <v>-2.73388595046832</v>
      </c>
      <c r="AX21" s="20">
        <v>-2.23619777592541</v>
      </c>
      <c r="AY21" s="20">
        <v>-1.94252408417375</v>
      </c>
      <c r="AZ21" s="20">
        <v>-1.74714696902011</v>
      </c>
      <c r="BA21" s="20">
        <v>-1.49921482708254</v>
      </c>
      <c r="BB21" s="20">
        <v>-1.34524606674707</v>
      </c>
      <c r="BC21" s="20">
        <v>-1.23837281543842</v>
      </c>
      <c r="BD21" s="20">
        <v>-1.15864052954514</v>
      </c>
      <c r="BE21" s="20">
        <v>-1.0963132682635</v>
      </c>
      <c r="BF21" s="20">
        <v>-1.04585401117045</v>
      </c>
      <c r="BG21" s="20">
        <v>-1.00383870663199</v>
      </c>
      <c r="BH21" s="20">
        <v>-0.9373052266576061</v>
      </c>
      <c r="BI21" s="20">
        <v>-0.886491159467181</v>
      </c>
      <c r="BJ21" s="20">
        <v>-0.845819567888176</v>
      </c>
      <c r="BK21" s="20">
        <v>-0.8123664900493061</v>
      </c>
      <c r="BL21" s="20">
        <v>-0.784177444845628</v>
      </c>
      <c r="BM21" s="20">
        <v>-0.7447274948966941</v>
      </c>
      <c r="BN21" s="20">
        <v>-0.677780705266081</v>
      </c>
      <c r="BO21" s="20">
        <v>-0.638272163982407</v>
      </c>
      <c r="BP21" s="20">
        <v>-0.6020599913279621</v>
      </c>
      <c r="BQ21" s="20">
        <v>-0.570376897417314</v>
      </c>
      <c r="BR21" s="20">
        <v>-0.552841968657781</v>
      </c>
      <c r="BS21" s="20">
        <v>-0.530767257493388</v>
      </c>
      <c r="BT21" s="20">
        <v>-0.530767257493388</v>
      </c>
    </row>
    <row r="22" spans="2:72" ht="12.75">
      <c r="B22" s="100" t="s">
        <v>88</v>
      </c>
      <c r="C22" s="107">
        <f>C23-(C20/C13)</f>
        <v>5.1095031153958335</v>
      </c>
      <c r="D22" s="107">
        <f>D23-(D20/D13)</f>
        <v>26.331871502694703</v>
      </c>
      <c r="E22" s="101" t="s">
        <v>47</v>
      </c>
      <c r="G22"/>
      <c r="H22"/>
      <c r="I22"/>
      <c r="AP22" s="20"/>
      <c r="AQ22">
        <v>12</v>
      </c>
      <c r="AR22">
        <v>21</v>
      </c>
      <c r="AS22">
        <v>12</v>
      </c>
      <c r="AT22" s="20">
        <v>-14.0065637695024</v>
      </c>
      <c r="AU22" s="20">
        <v>-7.08301995267962</v>
      </c>
      <c r="AV22" s="20">
        <v>-3.7705741520793</v>
      </c>
      <c r="AW22" s="20">
        <v>-2.73388595046832</v>
      </c>
      <c r="AX22" s="20">
        <v>-2.23619777592541</v>
      </c>
      <c r="AY22" s="20">
        <v>-1.94252408417375</v>
      </c>
      <c r="AZ22" s="20">
        <v>-1.74714696902011</v>
      </c>
      <c r="BA22" s="20">
        <v>-1.49921482708254</v>
      </c>
      <c r="BB22" s="20">
        <v>-1.34524606674707</v>
      </c>
      <c r="BC22" s="20">
        <v>-1.23837281543842</v>
      </c>
      <c r="BD22" s="20">
        <v>-1.15864052954514</v>
      </c>
      <c r="BE22" s="20">
        <v>-1.0963132682635</v>
      </c>
      <c r="BF22" s="20">
        <v>-1.04585401117045</v>
      </c>
      <c r="BG22" s="20">
        <v>-1.00383870663199</v>
      </c>
      <c r="BH22" s="20">
        <v>-0.9373052266576061</v>
      </c>
      <c r="BI22" s="20">
        <v>-0.886491159467181</v>
      </c>
      <c r="BJ22" s="20">
        <v>-0.845819567888176</v>
      </c>
      <c r="BK22" s="20">
        <v>-0.8123664900493061</v>
      </c>
      <c r="BL22" s="20">
        <v>-0.784177444845628</v>
      </c>
      <c r="BM22" s="20">
        <v>-0.7447274948966941</v>
      </c>
      <c r="BN22" s="20">
        <v>-0.677780705266081</v>
      </c>
      <c r="BO22" s="20">
        <v>-0.638272163982407</v>
      </c>
      <c r="BP22" s="20">
        <v>-0.6020599913279621</v>
      </c>
      <c r="BQ22" s="20">
        <v>-0.570376897417314</v>
      </c>
      <c r="BR22" s="20">
        <v>-0.552841968657781</v>
      </c>
      <c r="BS22" s="20">
        <v>-0.530767257493388</v>
      </c>
      <c r="BT22" s="20">
        <v>-0.530767257493388</v>
      </c>
    </row>
    <row r="23" spans="2:45" ht="12.75">
      <c r="B23" s="104" t="s">
        <v>46</v>
      </c>
      <c r="C23" s="108">
        <f>C10*C6/(C7*C5*(60/1000))</f>
        <v>7.291666666666667</v>
      </c>
      <c r="D23" s="108">
        <f>D10*D6/(D7*D5*(60/1000))</f>
        <v>29.23976608187135</v>
      </c>
      <c r="E23" s="105" t="s">
        <v>47</v>
      </c>
      <c r="G23"/>
      <c r="H23"/>
      <c r="I23"/>
      <c r="AP23" s="20"/>
      <c r="AQ23" s="39"/>
      <c r="AR23" s="44"/>
      <c r="AS23" s="44"/>
    </row>
    <row r="24" spans="2:9" ht="12.75">
      <c r="B24" s="106" t="s">
        <v>89</v>
      </c>
      <c r="C24" s="88"/>
      <c r="E24" s="99"/>
      <c r="G24"/>
      <c r="H24"/>
      <c r="I24"/>
    </row>
    <row r="25" spans="2:9" ht="12.75">
      <c r="B25" s="100" t="s">
        <v>90</v>
      </c>
      <c r="C25" s="39">
        <f>C$15*(EXP(-C$13*C27)/D$77-EXP(-C$14*C27)/D$78)</f>
        <v>0.9438629159694856</v>
      </c>
      <c r="D25" s="39">
        <f>D$15*(EXP(-D$13*D27)/G$77-EXP(-D$14*D27)/G$78)</f>
        <v>2.7991027171168708</v>
      </c>
      <c r="E25" s="101" t="s">
        <v>40</v>
      </c>
      <c r="G25"/>
      <c r="H25"/>
      <c r="I25"/>
    </row>
    <row r="26" spans="2:9" ht="12.75">
      <c r="B26" s="100" t="s">
        <v>91</v>
      </c>
      <c r="C26" s="39">
        <f>C16*C20</f>
        <v>0.3181727622488782</v>
      </c>
      <c r="D26" s="39">
        <f>D16*D20</f>
        <v>0.31425942576270893</v>
      </c>
      <c r="E26" s="101" t="s">
        <v>40</v>
      </c>
      <c r="G26"/>
      <c r="H26"/>
      <c r="I26"/>
    </row>
    <row r="27" spans="2:9" ht="12.75">
      <c r="B27" s="100" t="s">
        <v>92</v>
      </c>
      <c r="C27" s="39">
        <f>LN((C14/C13)*((1-EXP(-C13*C11))))*(1/(C14-C13))</f>
        <v>1.1456529461755105</v>
      </c>
      <c r="D27" s="39">
        <f>LN((D14/D13)*((1-EXP(-D13*D11))))*(1/(D14-D13))</f>
        <v>1.2410159054493992</v>
      </c>
      <c r="E27" s="101" t="s">
        <v>24</v>
      </c>
      <c r="G27"/>
      <c r="H27"/>
      <c r="I27"/>
    </row>
    <row r="28" spans="2:9" ht="12.75">
      <c r="B28" s="104" t="s">
        <v>88</v>
      </c>
      <c r="C28" s="90">
        <f>C23</f>
        <v>7.291666666666667</v>
      </c>
      <c r="D28" s="90">
        <f>D23</f>
        <v>29.23976608187135</v>
      </c>
      <c r="E28" s="105" t="s">
        <v>47</v>
      </c>
      <c r="G28"/>
      <c r="H28"/>
      <c r="I28"/>
    </row>
    <row r="29" spans="7:9" ht="12.75">
      <c r="G29"/>
      <c r="H29"/>
      <c r="I29"/>
    </row>
    <row r="30" spans="7:9" ht="12.75">
      <c r="G30"/>
      <c r="H30"/>
      <c r="I30"/>
    </row>
    <row r="31" spans="7:13" ht="12.75">
      <c r="G31"/>
      <c r="H31"/>
      <c r="I31"/>
      <c r="M31" s="39"/>
    </row>
    <row r="32" spans="7:9" ht="12.75">
      <c r="G32"/>
      <c r="H32"/>
      <c r="I32"/>
    </row>
    <row r="33" spans="7:9" ht="12.75">
      <c r="G33"/>
      <c r="H33"/>
      <c r="I33"/>
    </row>
    <row r="34" spans="7:41" ht="12.75">
      <c r="G34"/>
      <c r="H34"/>
      <c r="I34"/>
      <c r="AO34" s="10"/>
    </row>
    <row r="35" spans="7:41" ht="12.75">
      <c r="G35"/>
      <c r="H35"/>
      <c r="I35"/>
      <c r="AO35" s="10"/>
    </row>
    <row r="36" spans="7:41" ht="12.75">
      <c r="G36"/>
      <c r="H36"/>
      <c r="I36"/>
      <c r="AO36" s="10"/>
    </row>
    <row r="37" spans="7:41" ht="12.75">
      <c r="G37"/>
      <c r="H37"/>
      <c r="I37"/>
      <c r="AO37" s="10"/>
    </row>
    <row r="38" spans="7:41" ht="12.75">
      <c r="G38"/>
      <c r="H38"/>
      <c r="I38"/>
      <c r="AO38" s="10"/>
    </row>
    <row r="39" spans="7:41" ht="12.75">
      <c r="G39"/>
      <c r="H39"/>
      <c r="I39"/>
      <c r="AO39" s="10"/>
    </row>
    <row r="40" spans="7:41" ht="12.75">
      <c r="G40"/>
      <c r="H40"/>
      <c r="I40"/>
      <c r="AO40" s="10"/>
    </row>
    <row r="41" spans="7:41" ht="12.75">
      <c r="G41"/>
      <c r="H41"/>
      <c r="I41"/>
      <c r="AO41" s="10"/>
    </row>
    <row r="42" spans="7:41" ht="12.75">
      <c r="G42"/>
      <c r="H42"/>
      <c r="I42"/>
      <c r="AO42" s="10"/>
    </row>
    <row r="43" spans="7:41" ht="12.75">
      <c r="G43"/>
      <c r="H43"/>
      <c r="I43"/>
      <c r="AO43" s="10"/>
    </row>
    <row r="44" spans="7:9" ht="12.75">
      <c r="G44"/>
      <c r="H44"/>
      <c r="I44"/>
    </row>
    <row r="45" spans="7:9" ht="12.75">
      <c r="G45"/>
      <c r="H45"/>
      <c r="I45"/>
    </row>
    <row r="46" spans="3:42" ht="12.75">
      <c r="C46" s="57" t="s">
        <v>54</v>
      </c>
      <c r="D46" s="41">
        <f>C9</f>
        <v>1.28</v>
      </c>
      <c r="E46" s="41">
        <f>D9</f>
        <v>1.28</v>
      </c>
      <c r="G46"/>
      <c r="H46"/>
      <c r="I46"/>
      <c r="K46" t="s">
        <v>97</v>
      </c>
      <c r="M46" s="39"/>
      <c r="AO46" s="6"/>
      <c r="AP46" s="34"/>
    </row>
    <row r="47" spans="3:42" ht="12.75">
      <c r="C47" s="7" t="s">
        <v>55</v>
      </c>
      <c r="D47" s="6">
        <f>C12</f>
        <v>6.671541612889475</v>
      </c>
      <c r="E47" s="6">
        <f>D12</f>
        <v>7.093611496958505</v>
      </c>
      <c r="G47"/>
      <c r="H47"/>
      <c r="I47"/>
      <c r="AA47" t="s">
        <v>94</v>
      </c>
      <c r="AO47" s="6"/>
      <c r="AP47" s="34"/>
    </row>
    <row r="48" spans="3:42" ht="12.75">
      <c r="C48" s="57" t="s">
        <v>34</v>
      </c>
      <c r="D48" s="39">
        <f>C13</f>
        <v>0.10389610389610388</v>
      </c>
      <c r="E48" s="39">
        <f>D13</f>
        <v>0.09771428571428571</v>
      </c>
      <c r="G48"/>
      <c r="H48"/>
      <c r="I48"/>
      <c r="J48" s="7" t="s">
        <v>95</v>
      </c>
      <c r="K48">
        <v>0</v>
      </c>
      <c r="L48" s="10">
        <f aca="true" t="shared" si="4" ref="L48:L55">M48</f>
        <v>0</v>
      </c>
      <c r="M48" s="39">
        <v>0</v>
      </c>
      <c r="N48" s="39"/>
      <c r="W48" s="10"/>
      <c r="X48" s="10"/>
      <c r="Y48" s="10"/>
      <c r="Z48" s="7" t="s">
        <v>95</v>
      </c>
      <c r="AA48">
        <v>0</v>
      </c>
      <c r="AB48" s="10">
        <f aca="true" t="shared" si="5" ref="AB48:AB55">AC48</f>
        <v>0</v>
      </c>
      <c r="AC48" s="39">
        <v>0</v>
      </c>
      <c r="AD48" s="39"/>
      <c r="AM48" s="10"/>
      <c r="AN48" s="10"/>
      <c r="AO48" s="6"/>
      <c r="AP48" s="34"/>
    </row>
    <row r="49" spans="3:42" ht="12.75">
      <c r="C49" s="7" t="s">
        <v>56</v>
      </c>
      <c r="D49" s="39">
        <f>HLOOKUP(D52,$AT$3:$BT$5,3)</f>
        <v>0.11552453009332421</v>
      </c>
      <c r="E49" s="39">
        <f>HLOOKUP(E52,$AT$3:$BT$5,3)</f>
        <v>0.09902102579427789</v>
      </c>
      <c r="G49"/>
      <c r="H49"/>
      <c r="I49"/>
      <c r="J49" s="7"/>
      <c r="K49" s="10">
        <f>K48+(K51-K48)/3</f>
        <v>0.4266666666666667</v>
      </c>
      <c r="L49" s="10">
        <f t="shared" si="4"/>
        <v>0.4975245175944056</v>
      </c>
      <c r="M49" s="59">
        <f aca="true" t="shared" si="6" ref="M49:M80">C$15*(EXP(-C$13*K49)-EXP(-C$14*K49))</f>
        <v>0.4975245175944056</v>
      </c>
      <c r="N49" s="39"/>
      <c r="W49" s="10"/>
      <c r="X49" s="10"/>
      <c r="Y49" s="10"/>
      <c r="Z49" s="7"/>
      <c r="AA49" s="10">
        <f>AA48+(AA51-AA48)/3</f>
        <v>0.4266666666666667</v>
      </c>
      <c r="AB49" s="10">
        <f t="shared" si="5"/>
        <v>1.9017605639173456</v>
      </c>
      <c r="AC49" s="59">
        <f aca="true" t="shared" si="7" ref="AC49:AC80">D$15*(EXP(-D$13*AA49)-EXP(-D$14*AA49))</f>
        <v>1.9017605639173456</v>
      </c>
      <c r="AD49" s="39"/>
      <c r="AM49" s="10"/>
      <c r="AN49" s="10"/>
      <c r="AO49" s="6"/>
      <c r="AP49" s="34"/>
    </row>
    <row r="50" spans="3:42" ht="12.75">
      <c r="C50" s="7" t="s">
        <v>57</v>
      </c>
      <c r="D50" s="39">
        <f>HLOOKUP(D52+1,$AT$3:$BT$5,3)</f>
        <v>0.09902102579427789</v>
      </c>
      <c r="E50" s="39">
        <f>HLOOKUP(E52+1,$AT$3:$BT$5,3)</f>
        <v>0.08664339756999316</v>
      </c>
      <c r="G50"/>
      <c r="H50"/>
      <c r="I50"/>
      <c r="J50" s="7"/>
      <c r="K50" s="10">
        <f>K48+2*(K51-K48)/3</f>
        <v>0.8533333333333334</v>
      </c>
      <c r="L50" s="10">
        <f t="shared" si="4"/>
        <v>0.63808017655268</v>
      </c>
      <c r="M50" s="59">
        <f t="shared" si="6"/>
        <v>0.63808017655268</v>
      </c>
      <c r="N50" s="39"/>
      <c r="W50" s="10"/>
      <c r="X50" s="10"/>
      <c r="Y50" s="10"/>
      <c r="Z50" s="7"/>
      <c r="AA50" s="10">
        <f>AA48+2*(AA51-AA48)/3</f>
        <v>0.8533333333333334</v>
      </c>
      <c r="AB50" s="10">
        <f t="shared" si="5"/>
        <v>2.4283965684268236</v>
      </c>
      <c r="AC50" s="59">
        <f t="shared" si="7"/>
        <v>2.4283965684268236</v>
      </c>
      <c r="AD50" s="39"/>
      <c r="AM50" s="10"/>
      <c r="AN50" s="10"/>
      <c r="AO50" s="6"/>
      <c r="AP50" s="34"/>
    </row>
    <row r="51" spans="3:42" ht="12.75">
      <c r="C51" s="58" t="s">
        <v>58</v>
      </c>
      <c r="D51" s="10">
        <f>VLOOKUP(D46,$AQ$6:$AR$21,2)</f>
        <v>9</v>
      </c>
      <c r="E51" s="10">
        <f>VLOOKUP(E46,$AQ$6:$AR$21,2)</f>
        <v>9</v>
      </c>
      <c r="G51"/>
      <c r="H51"/>
      <c r="I51"/>
      <c r="J51" s="7" t="s">
        <v>76</v>
      </c>
      <c r="K51" s="10">
        <f>C9</f>
        <v>1.28</v>
      </c>
      <c r="L51" s="10">
        <f t="shared" si="4"/>
        <v>0.663245517511022</v>
      </c>
      <c r="M51" s="59">
        <f t="shared" si="6"/>
        <v>0.663245517511022</v>
      </c>
      <c r="N51" s="39"/>
      <c r="W51" s="10"/>
      <c r="X51" s="10"/>
      <c r="Y51" s="10"/>
      <c r="Z51" s="7" t="s">
        <v>76</v>
      </c>
      <c r="AA51" s="10">
        <f>D$9</f>
        <v>1.28</v>
      </c>
      <c r="AB51" s="10">
        <f t="shared" si="5"/>
        <v>2.5212515710324968</v>
      </c>
      <c r="AC51" s="59">
        <f t="shared" si="7"/>
        <v>2.5212515710324968</v>
      </c>
      <c r="AD51" s="39"/>
      <c r="AM51" s="10"/>
      <c r="AN51" s="10"/>
      <c r="AO51" s="6"/>
      <c r="AP51" s="34"/>
    </row>
    <row r="52" spans="3:42" ht="12.75">
      <c r="C52" s="7" t="s">
        <v>59</v>
      </c>
      <c r="D52" s="10">
        <f>HLOOKUP(D47,$AT$2:$BS$3,2)</f>
        <v>13</v>
      </c>
      <c r="E52" s="10">
        <f>HLOOKUP(E47,$AT$2:$BS$3,2)</f>
        <v>14</v>
      </c>
      <c r="G52"/>
      <c r="H52"/>
      <c r="I52"/>
      <c r="K52" s="10">
        <f>K51+(K56-K51)/5</f>
        <v>3.4240000000000004</v>
      </c>
      <c r="L52" s="10">
        <f t="shared" si="4"/>
        <v>0.5525504455339542</v>
      </c>
      <c r="M52" s="59">
        <f t="shared" si="6"/>
        <v>0.5525504455339542</v>
      </c>
      <c r="N52" s="39"/>
      <c r="W52" s="10"/>
      <c r="X52" s="10"/>
      <c r="Y52" s="10"/>
      <c r="AA52" s="10">
        <f>AA51+(AA56-AA51)/5</f>
        <v>5.824</v>
      </c>
      <c r="AB52" s="10">
        <f t="shared" si="5"/>
        <v>1.6782916003171091</v>
      </c>
      <c r="AC52" s="59">
        <f t="shared" si="7"/>
        <v>1.6782916003171091</v>
      </c>
      <c r="AD52" s="39"/>
      <c r="AM52" s="10"/>
      <c r="AN52" s="10"/>
      <c r="AO52" s="6"/>
      <c r="AP52" s="34"/>
    </row>
    <row r="53" spans="3:42" ht="12.75">
      <c r="C53" s="58" t="s">
        <v>60</v>
      </c>
      <c r="D53" s="59">
        <f>HLOOKUP(D47,$AR$2:$BS$21,D51)</f>
        <v>0.548671894086594</v>
      </c>
      <c r="E53" s="59">
        <f>HLOOKUP(E47,$AR$2:$BS$21,E51)</f>
        <v>0.57135939275384</v>
      </c>
      <c r="G53"/>
      <c r="H53"/>
      <c r="I53"/>
      <c r="K53" s="10">
        <f>K51+2*(K56-K51)/5</f>
        <v>5.5680000000000005</v>
      </c>
      <c r="L53" s="10">
        <f t="shared" si="4"/>
        <v>0.442290625830091</v>
      </c>
      <c r="M53" s="59">
        <f t="shared" si="6"/>
        <v>0.442290625830091</v>
      </c>
      <c r="N53" s="39"/>
      <c r="W53" s="10"/>
      <c r="X53" s="10"/>
      <c r="Y53" s="10"/>
      <c r="AA53" s="10">
        <f>AA51+2*(AA56-AA51)/5</f>
        <v>10.367999999999999</v>
      </c>
      <c r="AB53" s="10">
        <f t="shared" si="5"/>
        <v>1.0765515673391137</v>
      </c>
      <c r="AC53" s="59">
        <f t="shared" si="7"/>
        <v>1.0765515673391137</v>
      </c>
      <c r="AD53" s="39"/>
      <c r="AM53" s="10"/>
      <c r="AN53" s="10"/>
      <c r="AO53" s="6"/>
      <c r="AP53" s="34"/>
    </row>
    <row r="54" spans="3:42" ht="12.75">
      <c r="C54" s="58" t="s">
        <v>61</v>
      </c>
      <c r="D54" s="35">
        <f>VLOOKUP(D46,$AQ$6:$BT$22,D52+1)</f>
        <v>0.57135939275384</v>
      </c>
      <c r="E54" s="35">
        <f>VLOOKUP(E46,$AQ$6:$BT$22,E52+1)</f>
        <v>0.59011703478479</v>
      </c>
      <c r="G54"/>
      <c r="H54"/>
      <c r="I54"/>
      <c r="K54" s="10">
        <f>K51+3*(K56-K51)/5</f>
        <v>7.712000000000001</v>
      </c>
      <c r="L54" s="10">
        <f t="shared" si="4"/>
        <v>0.3539709077118856</v>
      </c>
      <c r="M54" s="59">
        <f t="shared" si="6"/>
        <v>0.3539709077118856</v>
      </c>
      <c r="N54" s="39"/>
      <c r="W54" s="10"/>
      <c r="X54" s="10"/>
      <c r="Y54" s="10"/>
      <c r="AA54" s="10">
        <f>AA51+3*(AA56-AA51)/5</f>
        <v>14.911999999999999</v>
      </c>
      <c r="AB54" s="10">
        <f t="shared" si="5"/>
        <v>0.6905611335693788</v>
      </c>
      <c r="AC54" s="59">
        <f t="shared" si="7"/>
        <v>0.6905611335693788</v>
      </c>
      <c r="AD54" s="39"/>
      <c r="AM54" s="10"/>
      <c r="AN54" s="10"/>
      <c r="AO54" s="6"/>
      <c r="AP54" s="34"/>
    </row>
    <row r="55" spans="3:42" ht="12.75">
      <c r="C55" s="58" t="s">
        <v>62</v>
      </c>
      <c r="D55" s="59">
        <f>HLOOKUP(D47,$AR$2:$BT$22,D51+1)</f>
        <v>0.127623049598029</v>
      </c>
      <c r="E55" s="59">
        <f>HLOOKUP(E47,$AR$2:$BT$22,E51+1)</f>
        <v>0.157245462845403</v>
      </c>
      <c r="G55"/>
      <c r="H55"/>
      <c r="I55"/>
      <c r="K55" s="10">
        <f>K51+4*(K56-K51)/5</f>
        <v>9.856</v>
      </c>
      <c r="L55" s="10">
        <f t="shared" si="4"/>
        <v>0.2832872739014427</v>
      </c>
      <c r="M55" s="59">
        <f t="shared" si="6"/>
        <v>0.2832872739014427</v>
      </c>
      <c r="N55" s="39"/>
      <c r="W55" s="10"/>
      <c r="X55" s="10"/>
      <c r="Y55" s="10"/>
      <c r="AA55" s="10">
        <f>AA51+4*(AA56-AA51)/5</f>
        <v>19.456</v>
      </c>
      <c r="AB55" s="10">
        <f t="shared" si="5"/>
        <v>0.44296501316166365</v>
      </c>
      <c r="AC55" s="59">
        <f t="shared" si="7"/>
        <v>0.44296501316166365</v>
      </c>
      <c r="AD55" s="39"/>
      <c r="AM55" s="10"/>
      <c r="AN55" s="10"/>
      <c r="AO55" s="6"/>
      <c r="AP55" s="34"/>
    </row>
    <row r="56" spans="3:42" ht="12.75">
      <c r="C56" s="58" t="s">
        <v>63</v>
      </c>
      <c r="D56" s="59">
        <f>HLOOKUP(D52+1,$AT$3:$BT$22,D51)</f>
        <v>0.157245462845403</v>
      </c>
      <c r="E56" s="59">
        <f>HLOOKUP(E52+1,$AT$3:$BT$22,E51)</f>
        <v>0.18141479625428403</v>
      </c>
      <c r="G56"/>
      <c r="H56"/>
      <c r="I56"/>
      <c r="J56" s="7" t="s">
        <v>96</v>
      </c>
      <c r="K56" s="48">
        <f>C$11</f>
        <v>12</v>
      </c>
      <c r="L56" s="48">
        <f aca="true" t="shared" si="8" ref="L56:L64">SUM(M56:N56)</f>
        <v>0.22671829104112548</v>
      </c>
      <c r="M56" s="59">
        <f t="shared" si="6"/>
        <v>0.22671829104112548</v>
      </c>
      <c r="N56" s="52">
        <f aca="true" t="shared" si="9" ref="N56:N87">M48</f>
        <v>0</v>
      </c>
      <c r="W56" s="10"/>
      <c r="X56" s="10"/>
      <c r="Y56" s="10"/>
      <c r="Z56" s="7" t="s">
        <v>96</v>
      </c>
      <c r="AA56" s="48">
        <f>D$11</f>
        <v>24</v>
      </c>
      <c r="AB56" s="48">
        <f aca="true" t="shared" si="10" ref="AB56:AB64">SUM(AC56:AD56)</f>
        <v>0.28414284173668947</v>
      </c>
      <c r="AC56" s="59">
        <f t="shared" si="7"/>
        <v>0.28414284173668947</v>
      </c>
      <c r="AD56" s="52">
        <f aca="true" t="shared" si="11" ref="AD56:AD87">AC48</f>
        <v>0</v>
      </c>
      <c r="AM56" s="10"/>
      <c r="AN56" s="10"/>
      <c r="AO56" s="6"/>
      <c r="AP56" s="34"/>
    </row>
    <row r="57" spans="3:42" ht="12.75">
      <c r="C57" t="s">
        <v>64</v>
      </c>
      <c r="D57" s="39">
        <f aca="true" t="shared" si="12" ref="D57:E59">LOG(D48,10)</f>
        <v>-0.9834007381805382</v>
      </c>
      <c r="E57" s="39">
        <f t="shared" si="12"/>
        <v>-1.0100419382941406</v>
      </c>
      <c r="G57"/>
      <c r="H57"/>
      <c r="I57"/>
      <c r="J57">
        <v>2</v>
      </c>
      <c r="K57" s="10">
        <f aca="true" t="shared" si="13" ref="K57:K88">K49+C$11</f>
        <v>12.426666666666666</v>
      </c>
      <c r="L57" s="10">
        <f t="shared" si="8"/>
        <v>0.714412114739717</v>
      </c>
      <c r="M57" s="59">
        <f t="shared" si="6"/>
        <v>0.2168875971453114</v>
      </c>
      <c r="N57" s="39">
        <f t="shared" si="9"/>
        <v>0.4975245175944056</v>
      </c>
      <c r="W57" s="10"/>
      <c r="X57" s="10"/>
      <c r="Y57" s="10"/>
      <c r="Z57">
        <v>2</v>
      </c>
      <c r="AA57" s="10">
        <f aca="true" t="shared" si="14" ref="AA57:AA88">AA49+D$11</f>
        <v>24.426666666666666</v>
      </c>
      <c r="AB57" s="10">
        <f t="shared" si="10"/>
        <v>2.1743006333294113</v>
      </c>
      <c r="AC57" s="59">
        <f t="shared" si="7"/>
        <v>0.2725400694120655</v>
      </c>
      <c r="AD57" s="39">
        <f t="shared" si="11"/>
        <v>1.9017605639173456</v>
      </c>
      <c r="AM57" s="10"/>
      <c r="AN57" s="10"/>
      <c r="AO57" s="6"/>
      <c r="AP57" s="34"/>
    </row>
    <row r="58" spans="3:42" ht="12.75">
      <c r="C58" t="s">
        <v>65</v>
      </c>
      <c r="D58" s="20">
        <f t="shared" si="12"/>
        <v>-0.9373257893385052</v>
      </c>
      <c r="E58" s="20">
        <f t="shared" si="12"/>
        <v>-1.0042725789691185</v>
      </c>
      <c r="G58"/>
      <c r="H58"/>
      <c r="I58"/>
      <c r="K58" s="10">
        <f t="shared" si="13"/>
        <v>12.853333333333333</v>
      </c>
      <c r="L58" s="10">
        <f t="shared" si="8"/>
        <v>0.8455633468758569</v>
      </c>
      <c r="M58" s="59">
        <f t="shared" si="6"/>
        <v>0.2074831703231769</v>
      </c>
      <c r="N58" s="39">
        <f t="shared" si="9"/>
        <v>0.63808017655268</v>
      </c>
      <c r="AA58" s="10">
        <f t="shared" si="14"/>
        <v>24.85333333333333</v>
      </c>
      <c r="AB58" s="10">
        <f t="shared" si="10"/>
        <v>2.6898076565300593</v>
      </c>
      <c r="AC58" s="59">
        <f t="shared" si="7"/>
        <v>0.2614110881032356</v>
      </c>
      <c r="AD58" s="39">
        <f t="shared" si="11"/>
        <v>2.4283965684268236</v>
      </c>
      <c r="AO58" s="6"/>
      <c r="AP58" s="34"/>
    </row>
    <row r="59" spans="3:42" ht="12.75">
      <c r="C59" t="s">
        <v>66</v>
      </c>
      <c r="D59" s="10">
        <f t="shared" si="12"/>
        <v>-1.0042725789691185</v>
      </c>
      <c r="E59" s="10">
        <f t="shared" si="12"/>
        <v>-1.062264525946805</v>
      </c>
      <c r="G59"/>
      <c r="H59"/>
      <c r="I59"/>
      <c r="J59" s="7" t="s">
        <v>76</v>
      </c>
      <c r="K59" s="10">
        <f t="shared" si="13"/>
        <v>13.28</v>
      </c>
      <c r="L59" s="10">
        <f t="shared" si="8"/>
        <v>0.8617320447904664</v>
      </c>
      <c r="M59" s="59">
        <f t="shared" si="6"/>
        <v>0.19848652727944444</v>
      </c>
      <c r="N59" s="39">
        <f t="shared" si="9"/>
        <v>0.663245517511022</v>
      </c>
      <c r="Z59" s="7" t="s">
        <v>76</v>
      </c>
      <c r="AA59" s="10">
        <f t="shared" si="14"/>
        <v>25.28</v>
      </c>
      <c r="AB59" s="10">
        <f t="shared" si="10"/>
        <v>2.7719881219210842</v>
      </c>
      <c r="AC59" s="59">
        <f t="shared" si="7"/>
        <v>0.2507365508885877</v>
      </c>
      <c r="AD59" s="39">
        <f t="shared" si="11"/>
        <v>2.5212515710324968</v>
      </c>
      <c r="AO59" s="6"/>
      <c r="AP59" s="34"/>
    </row>
    <row r="60" spans="3:42" ht="12.75">
      <c r="C60" s="60" t="s">
        <v>67</v>
      </c>
      <c r="D60" s="60">
        <f>(D53-D54)/(D58-D59)</f>
        <v>-0.33888852314542445</v>
      </c>
      <c r="E60" s="60">
        <f>(E53-E54)/(E58-E59)</f>
        <v>-0.3234525310586212</v>
      </c>
      <c r="G60"/>
      <c r="H60"/>
      <c r="I60"/>
      <c r="K60" s="10">
        <f t="shared" si="13"/>
        <v>15.424</v>
      </c>
      <c r="L60" s="10">
        <f t="shared" si="8"/>
        <v>0.7114016556113818</v>
      </c>
      <c r="M60" s="59">
        <f t="shared" si="6"/>
        <v>0.1588512100774277</v>
      </c>
      <c r="N60" s="39">
        <f t="shared" si="9"/>
        <v>0.5525504455339542</v>
      </c>
      <c r="W60" s="6"/>
      <c r="X60" s="6"/>
      <c r="Y60" s="6"/>
      <c r="AA60" s="10">
        <f t="shared" si="14"/>
        <v>29.823999999999998</v>
      </c>
      <c r="AB60" s="10">
        <f t="shared" si="10"/>
        <v>1.839128221675144</v>
      </c>
      <c r="AC60" s="59">
        <f t="shared" si="7"/>
        <v>0.16083662135803473</v>
      </c>
      <c r="AD60" s="39">
        <f t="shared" si="11"/>
        <v>1.6782916003171091</v>
      </c>
      <c r="AM60" s="6"/>
      <c r="AN60" s="6"/>
      <c r="AO60" s="6"/>
      <c r="AP60" s="34"/>
    </row>
    <row r="61" spans="3:42" ht="12.75">
      <c r="C61" s="60" t="s">
        <v>68</v>
      </c>
      <c r="D61" s="60">
        <f>(D55-D56)/(D58-D59)</f>
        <v>-0.44247697926695384</v>
      </c>
      <c r="E61" s="60">
        <f>(E55-E56)/(E58-E59)</f>
        <v>-0.4167705115708667</v>
      </c>
      <c r="G61"/>
      <c r="H61"/>
      <c r="I61"/>
      <c r="K61" s="10">
        <f t="shared" si="13"/>
        <v>17.568</v>
      </c>
      <c r="L61" s="10">
        <f t="shared" si="8"/>
        <v>0.5694212038543468</v>
      </c>
      <c r="M61" s="59">
        <f t="shared" si="6"/>
        <v>0.12713057802425579</v>
      </c>
      <c r="N61" s="39">
        <f t="shared" si="9"/>
        <v>0.442290625830091</v>
      </c>
      <c r="W61" s="6"/>
      <c r="X61" s="6"/>
      <c r="Y61" s="6"/>
      <c r="AA61" s="10">
        <f t="shared" si="14"/>
        <v>34.367999999999995</v>
      </c>
      <c r="AB61" s="10">
        <f t="shared" si="10"/>
        <v>1.179721283434324</v>
      </c>
      <c r="AC61" s="59">
        <f t="shared" si="7"/>
        <v>0.10316971609521032</v>
      </c>
      <c r="AD61" s="39">
        <f t="shared" si="11"/>
        <v>1.0765515673391137</v>
      </c>
      <c r="AM61" s="6"/>
      <c r="AN61" s="6"/>
      <c r="AO61" s="96"/>
      <c r="AP61" s="34"/>
    </row>
    <row r="62" spans="3:42" ht="12.75">
      <c r="C62" s="60" t="s">
        <v>69</v>
      </c>
      <c r="D62" s="20">
        <f>VLOOKUP(D46,$AQ$6:$AR$21,1)</f>
        <v>1</v>
      </c>
      <c r="E62" s="20">
        <f>VLOOKUP(E46,$AQ$6:$AR$21,1)</f>
        <v>1</v>
      </c>
      <c r="G62"/>
      <c r="H62"/>
      <c r="I62"/>
      <c r="K62" s="10">
        <f t="shared" si="13"/>
        <v>19.712</v>
      </c>
      <c r="L62" s="10">
        <f t="shared" si="8"/>
        <v>0.4557150735945602</v>
      </c>
      <c r="M62" s="59">
        <f t="shared" si="6"/>
        <v>0.10174416588267461</v>
      </c>
      <c r="N62" s="39">
        <f t="shared" si="9"/>
        <v>0.3539709077118856</v>
      </c>
      <c r="W62" s="6"/>
      <c r="X62" s="6"/>
      <c r="Y62" s="6"/>
      <c r="AA62" s="10">
        <f t="shared" si="14"/>
        <v>38.912</v>
      </c>
      <c r="AB62" s="10">
        <f t="shared" si="10"/>
        <v>0.7567400313184924</v>
      </c>
      <c r="AC62" s="59">
        <f t="shared" si="7"/>
        <v>0.06617889774911362</v>
      </c>
      <c r="AD62" s="39">
        <f t="shared" si="11"/>
        <v>0.6905611335693788</v>
      </c>
      <c r="AM62" s="6"/>
      <c r="AN62" s="6"/>
      <c r="AO62" s="96"/>
      <c r="AP62" s="34"/>
    </row>
    <row r="63" spans="3:42" ht="12.75">
      <c r="C63" t="s">
        <v>70</v>
      </c>
      <c r="D63" s="20">
        <f>VLOOKUP(D46,$AQ$6:$AS$21,3)</f>
        <v>2</v>
      </c>
      <c r="E63" s="20">
        <f>VLOOKUP(E46,$AQ$6:$AS$21,3)</f>
        <v>2</v>
      </c>
      <c r="G63"/>
      <c r="H63"/>
      <c r="I63"/>
      <c r="K63" s="10">
        <f t="shared" si="13"/>
        <v>21.856</v>
      </c>
      <c r="L63" s="10">
        <f t="shared" si="8"/>
        <v>0.36471438177777227</v>
      </c>
      <c r="M63" s="59">
        <f t="shared" si="6"/>
        <v>0.08142710787632955</v>
      </c>
      <c r="N63" s="39">
        <f t="shared" si="9"/>
        <v>0.2832872739014427</v>
      </c>
      <c r="W63" s="6"/>
      <c r="X63" s="6"/>
      <c r="Y63" s="6"/>
      <c r="AA63" s="10">
        <f t="shared" si="14"/>
        <v>43.456</v>
      </c>
      <c r="AB63" s="10">
        <f t="shared" si="10"/>
        <v>0.4854159054685289</v>
      </c>
      <c r="AC63" s="59">
        <f t="shared" si="7"/>
        <v>0.04245089230686527</v>
      </c>
      <c r="AD63" s="39">
        <f t="shared" si="11"/>
        <v>0.44296501316166365</v>
      </c>
      <c r="AM63" s="6"/>
      <c r="AN63" s="6"/>
      <c r="AO63" s="96"/>
      <c r="AP63" s="34"/>
    </row>
    <row r="64" spans="3:42" ht="12.75">
      <c r="C64" t="s">
        <v>71</v>
      </c>
      <c r="D64" s="41">
        <f>(D61-D60)/(D63-D62)</f>
        <v>-0.1035884561215294</v>
      </c>
      <c r="E64" s="41">
        <f>(E61-E60)/(E63-E62)</f>
        <v>-0.09331798051224549</v>
      </c>
      <c r="G64"/>
      <c r="H64"/>
      <c r="I64"/>
      <c r="J64" s="7" t="s">
        <v>96</v>
      </c>
      <c r="K64" s="48">
        <f t="shared" si="13"/>
        <v>24</v>
      </c>
      <c r="L64" s="48">
        <f t="shared" si="8"/>
        <v>0.2918854074018726</v>
      </c>
      <c r="M64" s="59">
        <f t="shared" si="6"/>
        <v>0.06516711636074708</v>
      </c>
      <c r="N64" s="52">
        <f t="shared" si="9"/>
        <v>0.22671829104112548</v>
      </c>
      <c r="O64" s="48">
        <f aca="true" t="shared" si="15" ref="O64:O95">N56</f>
        <v>0</v>
      </c>
      <c r="W64" s="6"/>
      <c r="X64" s="6"/>
      <c r="Y64" s="6"/>
      <c r="Z64" s="7" t="s">
        <v>96</v>
      </c>
      <c r="AA64" s="95">
        <f t="shared" si="14"/>
        <v>48</v>
      </c>
      <c r="AB64" s="48">
        <f t="shared" si="10"/>
        <v>0.3113732477866786</v>
      </c>
      <c r="AC64" s="59">
        <f t="shared" si="7"/>
        <v>0.027230406049989102</v>
      </c>
      <c r="AD64" s="52">
        <f t="shared" si="11"/>
        <v>0.28414284173668947</v>
      </c>
      <c r="AE64" s="48">
        <f aca="true" t="shared" si="16" ref="AE64:AE95">AD56</f>
        <v>0</v>
      </c>
      <c r="AM64" s="6"/>
      <c r="AN64" s="6"/>
      <c r="AO64" s="96"/>
      <c r="AP64" s="34"/>
    </row>
    <row r="65" spans="3:42" ht="12.75">
      <c r="C65" t="s">
        <v>72</v>
      </c>
      <c r="D65" s="41">
        <f>D60+((D46-D62)*D64)</f>
        <v>-0.36789329085945266</v>
      </c>
      <c r="E65" s="41">
        <f>E60+((E46-E62)*E64)</f>
        <v>-0.34958156560204995</v>
      </c>
      <c r="G65"/>
      <c r="H65"/>
      <c r="I65"/>
      <c r="J65">
        <v>3</v>
      </c>
      <c r="K65" s="10">
        <f t="shared" si="13"/>
        <v>24.426666666666666</v>
      </c>
      <c r="L65" s="21">
        <f aca="true" t="shared" si="17" ref="L65:L72">SUM(M65:O65)</f>
        <v>0.7767535306681163</v>
      </c>
      <c r="M65" s="59">
        <f t="shared" si="6"/>
        <v>0.062341415928399306</v>
      </c>
      <c r="N65" s="39">
        <f t="shared" si="9"/>
        <v>0.2168875971453114</v>
      </c>
      <c r="O65" s="10">
        <f t="shared" si="15"/>
        <v>0.4975245175944056</v>
      </c>
      <c r="W65" s="6"/>
      <c r="X65" s="6"/>
      <c r="Y65" s="6"/>
      <c r="Z65">
        <v>3</v>
      </c>
      <c r="AA65" s="10">
        <f t="shared" si="14"/>
        <v>48.42666666666666</v>
      </c>
      <c r="AB65" s="21">
        <f aca="true" t="shared" si="18" ref="AB65:AB72">SUM(AC65:AE65)</f>
        <v>2.2004191049742468</v>
      </c>
      <c r="AC65" s="59">
        <f t="shared" si="7"/>
        <v>0.026118471644835693</v>
      </c>
      <c r="AD65" s="39">
        <f t="shared" si="11"/>
        <v>0.2725400694120655</v>
      </c>
      <c r="AE65" s="10">
        <f t="shared" si="16"/>
        <v>1.9017605639173456</v>
      </c>
      <c r="AM65" s="6"/>
      <c r="AN65" s="6"/>
      <c r="AO65" s="96"/>
      <c r="AP65" s="34"/>
    </row>
    <row r="66" spans="3:42" ht="12.75">
      <c r="C66" t="s">
        <v>73</v>
      </c>
      <c r="D66" s="10">
        <f>(D56-D54)/(D63-D62)</f>
        <v>-0.414113929908437</v>
      </c>
      <c r="E66" s="10">
        <f>(E56-E54)/(E63-E62)</f>
        <v>-0.408702238530506</v>
      </c>
      <c r="G66"/>
      <c r="H66"/>
      <c r="I66"/>
      <c r="K66" s="10">
        <f t="shared" si="13"/>
        <v>24.85333333333333</v>
      </c>
      <c r="L66" s="21">
        <f t="shared" si="17"/>
        <v>0.905201587095715</v>
      </c>
      <c r="M66" s="59">
        <f t="shared" si="6"/>
        <v>0.05963824021985808</v>
      </c>
      <c r="N66" s="39">
        <f t="shared" si="9"/>
        <v>0.2074831703231769</v>
      </c>
      <c r="O66" s="10">
        <f t="shared" si="15"/>
        <v>0.63808017655268</v>
      </c>
      <c r="W66" s="6"/>
      <c r="X66" s="6"/>
      <c r="Y66" s="6"/>
      <c r="AA66" s="10">
        <f t="shared" si="14"/>
        <v>48.85333333333333</v>
      </c>
      <c r="AB66" s="21">
        <f t="shared" si="18"/>
        <v>2.7148595988261</v>
      </c>
      <c r="AC66" s="59">
        <f t="shared" si="7"/>
        <v>0.02505194229604075</v>
      </c>
      <c r="AD66" s="39">
        <f t="shared" si="11"/>
        <v>0.2614110881032356</v>
      </c>
      <c r="AE66" s="10">
        <f t="shared" si="16"/>
        <v>2.4283965684268236</v>
      </c>
      <c r="AM66" s="6"/>
      <c r="AN66" s="6"/>
      <c r="AO66" s="96"/>
      <c r="AP66" s="34"/>
    </row>
    <row r="67" spans="3:42" ht="12.75">
      <c r="C67" s="60" t="s">
        <v>74</v>
      </c>
      <c r="D67" s="39">
        <f>D54+(D66*(D46-D62))+(D65*(D57-D59))</f>
        <v>0.44772888218547224</v>
      </c>
      <c r="E67" s="39">
        <f>E54+(E66*(E46-E62))+(E65*(E57-E59))</f>
        <v>0.4574243540448396</v>
      </c>
      <c r="G67"/>
      <c r="H67"/>
      <c r="I67" s="59"/>
      <c r="J67" s="7" t="s">
        <v>76</v>
      </c>
      <c r="K67" s="10">
        <f t="shared" si="13"/>
        <v>25.28</v>
      </c>
      <c r="L67" s="21">
        <f t="shared" si="17"/>
        <v>0.918784321251535</v>
      </c>
      <c r="M67" s="59">
        <f t="shared" si="6"/>
        <v>0.0570522764610685</v>
      </c>
      <c r="N67" s="39">
        <f t="shared" si="9"/>
        <v>0.19848652727944444</v>
      </c>
      <c r="O67" s="10">
        <f t="shared" si="15"/>
        <v>0.663245517511022</v>
      </c>
      <c r="W67" s="6"/>
      <c r="X67" s="6"/>
      <c r="Y67" s="6"/>
      <c r="Z67" s="7" t="s">
        <v>76</v>
      </c>
      <c r="AA67" s="10">
        <f t="shared" si="14"/>
        <v>49.28</v>
      </c>
      <c r="AB67" s="21">
        <f t="shared" si="18"/>
        <v>2.7960170858412705</v>
      </c>
      <c r="AC67" s="59">
        <f t="shared" si="7"/>
        <v>0.02402896392018589</v>
      </c>
      <c r="AD67" s="39">
        <f t="shared" si="11"/>
        <v>0.2507365508885877</v>
      </c>
      <c r="AE67" s="10">
        <f t="shared" si="16"/>
        <v>2.5212515710324968</v>
      </c>
      <c r="AM67" s="6"/>
      <c r="AN67" s="6"/>
      <c r="AO67" s="96"/>
      <c r="AP67" s="34"/>
    </row>
    <row r="68" spans="3:42" ht="12.75">
      <c r="C68" s="61"/>
      <c r="D68" s="62"/>
      <c r="G68"/>
      <c r="H68"/>
      <c r="I68" s="59"/>
      <c r="K68" s="10">
        <f t="shared" si="13"/>
        <v>27.424</v>
      </c>
      <c r="L68" s="21">
        <f t="shared" si="17"/>
        <v>0.7570612944681459</v>
      </c>
      <c r="M68" s="59">
        <f t="shared" si="6"/>
        <v>0.045659638856763926</v>
      </c>
      <c r="N68" s="39">
        <f t="shared" si="9"/>
        <v>0.1588512100774277</v>
      </c>
      <c r="O68" s="10">
        <f t="shared" si="15"/>
        <v>0.5525504455339542</v>
      </c>
      <c r="W68" s="6"/>
      <c r="X68" s="6"/>
      <c r="Y68" s="6"/>
      <c r="AA68" s="10">
        <f t="shared" si="14"/>
        <v>53.824</v>
      </c>
      <c r="AB68" s="21">
        <f t="shared" si="18"/>
        <v>1.854541759741136</v>
      </c>
      <c r="AC68" s="59">
        <f t="shared" si="7"/>
        <v>0.015413538065992115</v>
      </c>
      <c r="AD68" s="39">
        <f t="shared" si="11"/>
        <v>0.16083662135803473</v>
      </c>
      <c r="AE68" s="10">
        <f t="shared" si="16"/>
        <v>1.6782916003171091</v>
      </c>
      <c r="AM68" s="6"/>
      <c r="AN68" s="6"/>
      <c r="AO68" s="96"/>
      <c r="AP68" s="34"/>
    </row>
    <row r="69" spans="2:42" ht="12.75">
      <c r="B69" s="63"/>
      <c r="C69" s="64" t="s">
        <v>75</v>
      </c>
      <c r="D69" s="64" t="s">
        <v>76</v>
      </c>
      <c r="E69" s="63"/>
      <c r="F69" s="64" t="s">
        <v>75</v>
      </c>
      <c r="G69" s="65" t="s">
        <v>76</v>
      </c>
      <c r="H69"/>
      <c r="I69" s="59"/>
      <c r="K69" s="10">
        <f t="shared" si="13"/>
        <v>29.568</v>
      </c>
      <c r="L69" s="21">
        <f t="shared" si="17"/>
        <v>0.6059631746546309</v>
      </c>
      <c r="M69" s="59">
        <f t="shared" si="6"/>
        <v>0.03654197080028415</v>
      </c>
      <c r="N69" s="39">
        <f t="shared" si="9"/>
        <v>0.12713057802425579</v>
      </c>
      <c r="O69" s="10">
        <f t="shared" si="15"/>
        <v>0.442290625830091</v>
      </c>
      <c r="W69" s="6"/>
      <c r="X69" s="6"/>
      <c r="Y69" s="6"/>
      <c r="AA69" s="10">
        <f t="shared" si="14"/>
        <v>58.367999999999995</v>
      </c>
      <c r="AB69" s="21">
        <f t="shared" si="18"/>
        <v>1.1896083995205988</v>
      </c>
      <c r="AC69" s="59">
        <f t="shared" si="7"/>
        <v>0.009887116086274853</v>
      </c>
      <c r="AD69" s="39">
        <f t="shared" si="11"/>
        <v>0.10316971609521032</v>
      </c>
      <c r="AE69" s="10">
        <f t="shared" si="16"/>
        <v>1.0765515673391137</v>
      </c>
      <c r="AM69" s="6"/>
      <c r="AN69" s="6"/>
      <c r="AO69" s="96"/>
      <c r="AP69" s="34"/>
    </row>
    <row r="70" spans="2:42" ht="12.75">
      <c r="B70" s="66">
        <f aca="true" t="shared" si="19" ref="B70:B75">D70/D$46</f>
        <v>0.9535758233950694</v>
      </c>
      <c r="C70" s="41">
        <f>10^D67</f>
        <v>2.8036828312841746</v>
      </c>
      <c r="D70" s="41">
        <f aca="true" t="shared" si="20" ref="D70:D75">1/(C70-D$48)*LN(C70/D$48)</f>
        <v>1.2205770539456888</v>
      </c>
      <c r="E70" s="66">
        <f aca="true" t="shared" si="21" ref="E70:E75">G70/E$46</f>
        <v>0.953255993945633</v>
      </c>
      <c r="F70" s="41">
        <f>10^E67</f>
        <v>2.866977958287252</v>
      </c>
      <c r="G70" s="67">
        <f aca="true" t="shared" si="22" ref="G70:G75">1/(F70-E$48)*LN(F70/E$48)</f>
        <v>1.2201676722504102</v>
      </c>
      <c r="H70"/>
      <c r="I70" s="59"/>
      <c r="K70" s="10">
        <f t="shared" si="13"/>
        <v>31.712</v>
      </c>
      <c r="L70" s="21">
        <f t="shared" si="17"/>
        <v>0.4849600624600604</v>
      </c>
      <c r="M70" s="59">
        <f t="shared" si="6"/>
        <v>0.02924498886550019</v>
      </c>
      <c r="N70" s="39">
        <f t="shared" si="9"/>
        <v>0.10174416588267461</v>
      </c>
      <c r="O70" s="10">
        <f t="shared" si="15"/>
        <v>0.3539709077118856</v>
      </c>
      <c r="P70" s="6"/>
      <c r="Q70" s="6"/>
      <c r="R70" s="6"/>
      <c r="S70" s="6"/>
      <c r="T70" s="6"/>
      <c r="U70" s="6"/>
      <c r="V70" s="6"/>
      <c r="W70" s="6"/>
      <c r="X70" s="6"/>
      <c r="Y70" s="6"/>
      <c r="AA70" s="10">
        <f t="shared" si="14"/>
        <v>62.912</v>
      </c>
      <c r="AB70" s="21">
        <f t="shared" si="18"/>
        <v>0.763082187420806</v>
      </c>
      <c r="AC70" s="59">
        <f t="shared" si="7"/>
        <v>0.006342156102313608</v>
      </c>
      <c r="AD70" s="39">
        <f t="shared" si="11"/>
        <v>0.06617889774911362</v>
      </c>
      <c r="AE70" s="10">
        <f t="shared" si="16"/>
        <v>0.6905611335693788</v>
      </c>
      <c r="AF70" s="6"/>
      <c r="AG70" s="6"/>
      <c r="AH70" s="6"/>
      <c r="AI70" s="6"/>
      <c r="AJ70" s="6"/>
      <c r="AK70" s="6"/>
      <c r="AL70" s="6"/>
      <c r="AM70" s="6"/>
      <c r="AN70" s="6"/>
      <c r="AO70" s="96"/>
      <c r="AP70" s="34"/>
    </row>
    <row r="71" spans="2:42" ht="12.75">
      <c r="B71" s="66">
        <f t="shared" si="19"/>
        <v>0.9874244557404281</v>
      </c>
      <c r="C71" s="41">
        <f>C70*B70</f>
        <v>2.673524164380426</v>
      </c>
      <c r="D71" s="41">
        <f t="shared" si="20"/>
        <v>1.263903303347748</v>
      </c>
      <c r="E71" s="66">
        <f t="shared" si="21"/>
        <v>0.9875411117983485</v>
      </c>
      <c r="F71" s="41">
        <f>F70*E70</f>
        <v>2.732963923247336</v>
      </c>
      <c r="G71" s="67">
        <f t="shared" si="22"/>
        <v>1.264052623101886</v>
      </c>
      <c r="H71"/>
      <c r="K71" s="10">
        <f t="shared" si="13"/>
        <v>33.856</v>
      </c>
      <c r="L71" s="21">
        <f t="shared" si="17"/>
        <v>0.38811950621448105</v>
      </c>
      <c r="M71" s="59">
        <f t="shared" si="6"/>
        <v>0.02340512443670878</v>
      </c>
      <c r="N71" s="39">
        <f t="shared" si="9"/>
        <v>0.08142710787632955</v>
      </c>
      <c r="O71" s="39">
        <f t="shared" si="15"/>
        <v>0.2832872739014427</v>
      </c>
      <c r="P71" s="59"/>
      <c r="Q71" s="6"/>
      <c r="R71" s="6"/>
      <c r="S71" s="6"/>
      <c r="T71" s="6"/>
      <c r="U71" s="6"/>
      <c r="V71" s="6"/>
      <c r="W71" s="6"/>
      <c r="X71" s="6"/>
      <c r="Y71" s="6"/>
      <c r="AA71" s="10">
        <f t="shared" si="14"/>
        <v>67.456</v>
      </c>
      <c r="AB71" s="21">
        <f t="shared" si="18"/>
        <v>0.48948412350856496</v>
      </c>
      <c r="AC71" s="59">
        <f t="shared" si="7"/>
        <v>0.004068218040036021</v>
      </c>
      <c r="AD71" s="39">
        <f t="shared" si="11"/>
        <v>0.04245089230686527</v>
      </c>
      <c r="AE71" s="39">
        <f t="shared" si="16"/>
        <v>0.44296501316166365</v>
      </c>
      <c r="AF71" s="59"/>
      <c r="AG71" s="6"/>
      <c r="AH71" s="6"/>
      <c r="AI71" s="6"/>
      <c r="AJ71" s="6"/>
      <c r="AK71" s="6"/>
      <c r="AL71" s="6"/>
      <c r="AM71" s="6"/>
      <c r="AN71" s="6"/>
      <c r="AP71" s="39"/>
    </row>
    <row r="72" spans="2:42" ht="12.75">
      <c r="B72" s="66">
        <f t="shared" si="19"/>
        <v>0.9966165741149571</v>
      </c>
      <c r="C72" s="41">
        <f>C71*B71</f>
        <v>2.639903142922225</v>
      </c>
      <c r="D72" s="41">
        <f t="shared" si="20"/>
        <v>1.2756692148671451</v>
      </c>
      <c r="E72" s="66">
        <f t="shared" si="21"/>
        <v>0.9967025842160048</v>
      </c>
      <c r="F72" s="41">
        <f>F71*E71</f>
        <v>2.698914231268451</v>
      </c>
      <c r="G72" s="67">
        <f t="shared" si="22"/>
        <v>1.275779307796486</v>
      </c>
      <c r="H72"/>
      <c r="J72" s="7" t="s">
        <v>96</v>
      </c>
      <c r="K72" s="48">
        <f t="shared" si="13"/>
        <v>36</v>
      </c>
      <c r="L72" s="48">
        <f t="shared" si="17"/>
        <v>0.31061681647907186</v>
      </c>
      <c r="M72" s="59">
        <f t="shared" si="6"/>
        <v>0.0187314090771993</v>
      </c>
      <c r="N72" s="52">
        <f t="shared" si="9"/>
        <v>0.06516711636074708</v>
      </c>
      <c r="O72" s="52">
        <f t="shared" si="15"/>
        <v>0.22671829104112548</v>
      </c>
      <c r="P72" s="53">
        <f aca="true" t="shared" si="23" ref="P72:P103">O64</f>
        <v>0</v>
      </c>
      <c r="Q72" s="6"/>
      <c r="R72" s="6"/>
      <c r="S72" s="6"/>
      <c r="T72" s="6"/>
      <c r="U72" s="6"/>
      <c r="V72" s="6"/>
      <c r="W72" s="6"/>
      <c r="X72" s="6"/>
      <c r="Y72" s="6"/>
      <c r="Z72" s="7" t="s">
        <v>96</v>
      </c>
      <c r="AA72" s="95">
        <f t="shared" si="14"/>
        <v>72</v>
      </c>
      <c r="AB72" s="48">
        <f t="shared" si="18"/>
        <v>0.3139828331949023</v>
      </c>
      <c r="AC72" s="59">
        <f t="shared" si="7"/>
        <v>0.002609585408223708</v>
      </c>
      <c r="AD72" s="52">
        <f t="shared" si="11"/>
        <v>0.027230406049989102</v>
      </c>
      <c r="AE72" s="52">
        <f t="shared" si="16"/>
        <v>0.28414284173668947</v>
      </c>
      <c r="AF72" s="53">
        <f aca="true" t="shared" si="24" ref="AF72:AF103">AE64</f>
        <v>0</v>
      </c>
      <c r="AG72" s="6"/>
      <c r="AH72" s="6"/>
      <c r="AI72" s="6"/>
      <c r="AJ72" s="6"/>
      <c r="AK72" s="6"/>
      <c r="AL72" s="6"/>
      <c r="AM72" s="6"/>
      <c r="AN72" s="6"/>
      <c r="AP72" s="39"/>
    </row>
    <row r="73" spans="2:42" ht="12.75">
      <c r="B73" s="66">
        <f t="shared" si="19"/>
        <v>0.9990913374499645</v>
      </c>
      <c r="C73" s="41">
        <f>C72*B72</f>
        <v>2.630971226294456</v>
      </c>
      <c r="D73" s="41">
        <f t="shared" si="20"/>
        <v>1.2788369119359546</v>
      </c>
      <c r="E73" s="66">
        <f t="shared" si="21"/>
        <v>0.9991288980360675</v>
      </c>
      <c r="F73" s="41">
        <f>F72*E72</f>
        <v>2.690014788882617</v>
      </c>
      <c r="G73" s="67">
        <f t="shared" si="22"/>
        <v>1.2788849894861665</v>
      </c>
      <c r="H73"/>
      <c r="J73">
        <v>4</v>
      </c>
      <c r="K73" s="10">
        <f t="shared" si="13"/>
        <v>36.42666666666666</v>
      </c>
      <c r="L73" s="10">
        <f aca="true" t="shared" si="25" ref="L73:L80">SUM(M73:P73)</f>
        <v>0.7946727302494263</v>
      </c>
      <c r="M73" s="59">
        <f t="shared" si="6"/>
        <v>0.01791919958130996</v>
      </c>
      <c r="N73" s="39">
        <f t="shared" si="9"/>
        <v>0.062341415928399306</v>
      </c>
      <c r="O73" s="39">
        <f t="shared" si="15"/>
        <v>0.2168875971453114</v>
      </c>
      <c r="P73" s="59">
        <f t="shared" si="23"/>
        <v>0.4975245175944056</v>
      </c>
      <c r="Q73" s="6"/>
      <c r="R73" s="6"/>
      <c r="S73" s="6"/>
      <c r="T73" s="6"/>
      <c r="U73" s="6"/>
      <c r="V73" s="6"/>
      <c r="W73" s="6"/>
      <c r="X73" s="6"/>
      <c r="Y73" s="6"/>
      <c r="Z73">
        <v>4</v>
      </c>
      <c r="AA73" s="10">
        <f t="shared" si="14"/>
        <v>72.42666666666666</v>
      </c>
      <c r="AB73" s="10">
        <f aca="true" t="shared" si="26" ref="AB73:AB80">SUM(AC73:AF73)</f>
        <v>2.202922129804811</v>
      </c>
      <c r="AC73" s="59">
        <f t="shared" si="7"/>
        <v>0.0025030248305641855</v>
      </c>
      <c r="AD73" s="39">
        <f t="shared" si="11"/>
        <v>0.026118471644835693</v>
      </c>
      <c r="AE73" s="39">
        <f t="shared" si="16"/>
        <v>0.2725400694120655</v>
      </c>
      <c r="AF73" s="59">
        <f t="shared" si="24"/>
        <v>1.9017605639173456</v>
      </c>
      <c r="AG73" s="6"/>
      <c r="AH73" s="6"/>
      <c r="AI73" s="6"/>
      <c r="AJ73" s="6"/>
      <c r="AK73" s="6"/>
      <c r="AL73" s="6"/>
      <c r="AM73" s="6"/>
      <c r="AN73" s="6"/>
      <c r="AP73" s="39"/>
    </row>
    <row r="74" spans="2:42" ht="12.75">
      <c r="B74" s="66">
        <f t="shared" si="19"/>
        <v>0.999756084829278</v>
      </c>
      <c r="C74" s="41">
        <f>C73*B73</f>
        <v>2.628580561270901</v>
      </c>
      <c r="D74" s="41">
        <f t="shared" si="20"/>
        <v>1.279687788581476</v>
      </c>
      <c r="E74" s="66">
        <f t="shared" si="21"/>
        <v>0.9997699862055908</v>
      </c>
      <c r="F74" s="41">
        <f>F73*E73</f>
        <v>2.687671511717014</v>
      </c>
      <c r="G74" s="67">
        <f t="shared" si="22"/>
        <v>1.2797055823431562</v>
      </c>
      <c r="H74"/>
      <c r="K74" s="10">
        <f t="shared" si="13"/>
        <v>36.85333333333333</v>
      </c>
      <c r="L74" s="10">
        <f t="shared" si="25"/>
        <v>0.9223437952612328</v>
      </c>
      <c r="M74" s="59">
        <f t="shared" si="6"/>
        <v>0.017142208165517727</v>
      </c>
      <c r="N74" s="39">
        <f t="shared" si="9"/>
        <v>0.05963824021985808</v>
      </c>
      <c r="O74" s="39">
        <f t="shared" si="15"/>
        <v>0.2074831703231769</v>
      </c>
      <c r="P74" s="59">
        <f t="shared" si="23"/>
        <v>0.63808017655268</v>
      </c>
      <c r="Q74" s="6"/>
      <c r="R74" s="6"/>
      <c r="S74" s="6"/>
      <c r="T74" s="6"/>
      <c r="U74" s="6"/>
      <c r="V74" s="6"/>
      <c r="W74" s="6"/>
      <c r="X74" s="6"/>
      <c r="Y74" s="6"/>
      <c r="AA74" s="10">
        <f t="shared" si="14"/>
        <v>72.85333333333332</v>
      </c>
      <c r="AB74" s="10">
        <f t="shared" si="26"/>
        <v>2.7172604144049566</v>
      </c>
      <c r="AC74" s="59">
        <f t="shared" si="7"/>
        <v>0.0024008155788568016</v>
      </c>
      <c r="AD74" s="39">
        <f t="shared" si="11"/>
        <v>0.02505194229604075</v>
      </c>
      <c r="AE74" s="39">
        <f t="shared" si="16"/>
        <v>0.2614110881032356</v>
      </c>
      <c r="AF74" s="59">
        <f t="shared" si="24"/>
        <v>2.4283965684268236</v>
      </c>
      <c r="AG74" s="6"/>
      <c r="AH74" s="6"/>
      <c r="AI74" s="6"/>
      <c r="AJ74" s="6"/>
      <c r="AK74" s="6"/>
      <c r="AL74" s="6"/>
      <c r="AM74" s="6"/>
      <c r="AN74" s="6"/>
      <c r="AP74" s="39"/>
    </row>
    <row r="75" spans="2:76" ht="12.75">
      <c r="B75" s="68">
        <f t="shared" si="19"/>
        <v>0.9999345335578709</v>
      </c>
      <c r="C75" s="69">
        <f>C74*B74</f>
        <v>2.627939410594542</v>
      </c>
      <c r="D75" s="69">
        <f t="shared" si="20"/>
        <v>1.2799162029540747</v>
      </c>
      <c r="E75" s="68">
        <f t="shared" si="21"/>
        <v>0.9999392727983932</v>
      </c>
      <c r="F75" s="69">
        <f>F74*E74</f>
        <v>2.6870533101944782</v>
      </c>
      <c r="G75" s="70">
        <f t="shared" si="22"/>
        <v>1.2799222691819434</v>
      </c>
      <c r="H75"/>
      <c r="J75" s="7" t="s">
        <v>76</v>
      </c>
      <c r="K75" s="10">
        <f t="shared" si="13"/>
        <v>37.28</v>
      </c>
      <c r="L75" s="10">
        <f t="shared" si="25"/>
        <v>0.9351832289960772</v>
      </c>
      <c r="M75" s="59">
        <f t="shared" si="6"/>
        <v>0.01639890774454228</v>
      </c>
      <c r="N75" s="39">
        <f t="shared" si="9"/>
        <v>0.0570522764610685</v>
      </c>
      <c r="O75" s="39">
        <f t="shared" si="15"/>
        <v>0.19848652727944444</v>
      </c>
      <c r="P75" s="59">
        <f t="shared" si="23"/>
        <v>0.663245517511022</v>
      </c>
      <c r="Q75" s="96"/>
      <c r="R75" s="96"/>
      <c r="S75" s="96"/>
      <c r="T75" s="96"/>
      <c r="U75" s="96"/>
      <c r="V75" s="96"/>
      <c r="W75" s="96"/>
      <c r="X75" s="96"/>
      <c r="Y75" s="96"/>
      <c r="Z75" s="7" t="s">
        <v>76</v>
      </c>
      <c r="AA75" s="10">
        <f t="shared" si="14"/>
        <v>73.28</v>
      </c>
      <c r="AB75" s="10">
        <f t="shared" si="26"/>
        <v>2.798319865811049</v>
      </c>
      <c r="AC75" s="59">
        <f t="shared" si="7"/>
        <v>0.0023027799697785314</v>
      </c>
      <c r="AD75" s="39">
        <f t="shared" si="11"/>
        <v>0.02402896392018589</v>
      </c>
      <c r="AE75" s="39">
        <f t="shared" si="16"/>
        <v>0.2507365508885877</v>
      </c>
      <c r="AF75" s="59">
        <f t="shared" si="24"/>
        <v>2.5212515710324968</v>
      </c>
      <c r="AG75" s="96"/>
      <c r="AH75" s="96"/>
      <c r="AI75" s="96"/>
      <c r="AJ75" s="96"/>
      <c r="AK75" s="96"/>
      <c r="AL75" s="96"/>
      <c r="AM75" s="96"/>
      <c r="AN75" s="96"/>
      <c r="AP75" s="39"/>
      <c r="BX75" s="10"/>
    </row>
    <row r="76" spans="3:76" ht="12.75">
      <c r="C76" s="10"/>
      <c r="D76" s="10"/>
      <c r="G76" s="59"/>
      <c r="H76"/>
      <c r="K76" s="10">
        <f t="shared" si="13"/>
        <v>39.424</v>
      </c>
      <c r="L76" s="10">
        <f t="shared" si="25"/>
        <v>0.7701855421179681</v>
      </c>
      <c r="M76" s="59">
        <f t="shared" si="6"/>
        <v>0.013124247649822278</v>
      </c>
      <c r="N76" s="39">
        <f t="shared" si="9"/>
        <v>0.045659638856763926</v>
      </c>
      <c r="O76" s="39">
        <f t="shared" si="15"/>
        <v>0.1588512100774277</v>
      </c>
      <c r="P76" s="59">
        <f t="shared" si="23"/>
        <v>0.5525504455339542</v>
      </c>
      <c r="Q76" s="96"/>
      <c r="R76" s="96"/>
      <c r="S76" s="96"/>
      <c r="T76" s="96"/>
      <c r="U76" s="96"/>
      <c r="V76" s="96"/>
      <c r="W76" s="96"/>
      <c r="X76" s="96"/>
      <c r="Y76" s="96"/>
      <c r="AA76" s="10">
        <f t="shared" si="14"/>
        <v>77.824</v>
      </c>
      <c r="AB76" s="10">
        <f t="shared" si="26"/>
        <v>1.8560188932055535</v>
      </c>
      <c r="AC76" s="59">
        <f t="shared" si="7"/>
        <v>0.001477133464417428</v>
      </c>
      <c r="AD76" s="39">
        <f t="shared" si="11"/>
        <v>0.015413538065992115</v>
      </c>
      <c r="AE76" s="39">
        <f t="shared" si="16"/>
        <v>0.16083662135803473</v>
      </c>
      <c r="AF76" s="59">
        <f t="shared" si="24"/>
        <v>1.6782916003171091</v>
      </c>
      <c r="AG76" s="96"/>
      <c r="AH76" s="96"/>
      <c r="AI76" s="96"/>
      <c r="AJ76" s="96"/>
      <c r="AK76" s="96"/>
      <c r="AL76" s="96"/>
      <c r="AM76" s="96"/>
      <c r="AN76" s="96"/>
      <c r="AP76" s="39"/>
      <c r="BX76" s="10"/>
    </row>
    <row r="77" spans="3:76" ht="12.75">
      <c r="C77" s="10" t="s">
        <v>98</v>
      </c>
      <c r="D77" s="41">
        <f>1-EXP(-C$13*C$11)</f>
        <v>0.7125634810429938</v>
      </c>
      <c r="E77" s="10"/>
      <c r="G77" s="41">
        <f>1-EXP(-D$13*D$11)</f>
        <v>0.9041664893489625</v>
      </c>
      <c r="H77"/>
      <c r="K77" s="10">
        <f t="shared" si="13"/>
        <v>41.568</v>
      </c>
      <c r="L77" s="10">
        <f t="shared" si="25"/>
        <v>0.6164666715372932</v>
      </c>
      <c r="M77" s="59">
        <f t="shared" si="6"/>
        <v>0.01050349688266225</v>
      </c>
      <c r="N77" s="39">
        <f t="shared" si="9"/>
        <v>0.03654197080028415</v>
      </c>
      <c r="O77" s="39">
        <f t="shared" si="15"/>
        <v>0.12713057802425579</v>
      </c>
      <c r="P77" s="59">
        <f t="shared" si="23"/>
        <v>0.442290625830091</v>
      </c>
      <c r="Q77" s="96"/>
      <c r="R77" s="96"/>
      <c r="S77" s="96"/>
      <c r="T77" s="96"/>
      <c r="U77" s="96"/>
      <c r="V77" s="96"/>
      <c r="W77" s="96"/>
      <c r="X77" s="96"/>
      <c r="Y77" s="96"/>
      <c r="AA77" s="10">
        <f t="shared" si="14"/>
        <v>82.368</v>
      </c>
      <c r="AB77" s="10">
        <f t="shared" si="26"/>
        <v>1.190555916565361</v>
      </c>
      <c r="AC77" s="59">
        <f t="shared" si="7"/>
        <v>0.000947517044762066</v>
      </c>
      <c r="AD77" s="39">
        <f t="shared" si="11"/>
        <v>0.009887116086274853</v>
      </c>
      <c r="AE77" s="39">
        <f t="shared" si="16"/>
        <v>0.10316971609521032</v>
      </c>
      <c r="AF77" s="59">
        <f t="shared" si="24"/>
        <v>1.0765515673391137</v>
      </c>
      <c r="AG77" s="96"/>
      <c r="AH77" s="96"/>
      <c r="AI77" s="96"/>
      <c r="AJ77" s="96"/>
      <c r="AK77" s="96"/>
      <c r="AL77" s="96"/>
      <c r="AM77" s="96"/>
      <c r="AN77" s="96"/>
      <c r="AP77" s="39"/>
      <c r="BX77" s="10"/>
    </row>
    <row r="78" spans="3:76" ht="12.75">
      <c r="C78" s="10" t="s">
        <v>99</v>
      </c>
      <c r="D78" s="41">
        <f>1-EXP(-C$14*C$11)</f>
        <v>0.9999999999999798</v>
      </c>
      <c r="G78" s="41">
        <f>1-EXP(-D$14*D$11)</f>
        <v>1</v>
      </c>
      <c r="H78"/>
      <c r="K78" s="10">
        <f t="shared" si="13"/>
        <v>43.712</v>
      </c>
      <c r="L78" s="10">
        <f t="shared" si="25"/>
        <v>0.49336614025649617</v>
      </c>
      <c r="M78" s="59">
        <f t="shared" si="6"/>
        <v>0.008406077796435778</v>
      </c>
      <c r="N78" s="39">
        <f t="shared" si="9"/>
        <v>0.02924498886550019</v>
      </c>
      <c r="O78" s="39">
        <f t="shared" si="15"/>
        <v>0.10174416588267461</v>
      </c>
      <c r="P78" s="59">
        <f t="shared" si="23"/>
        <v>0.3539709077118856</v>
      </c>
      <c r="Q78" s="96"/>
      <c r="R78" s="96"/>
      <c r="S78" s="96"/>
      <c r="T78" s="96"/>
      <c r="U78" s="96"/>
      <c r="V78" s="96"/>
      <c r="W78" s="96"/>
      <c r="X78" s="96"/>
      <c r="Y78" s="96"/>
      <c r="AA78" s="10">
        <f t="shared" si="14"/>
        <v>86.912</v>
      </c>
      <c r="AB78" s="10">
        <f t="shared" si="26"/>
        <v>0.7636899785051876</v>
      </c>
      <c r="AC78" s="59">
        <f t="shared" si="7"/>
        <v>0.0006077910843816135</v>
      </c>
      <c r="AD78" s="39">
        <f t="shared" si="11"/>
        <v>0.006342156102313608</v>
      </c>
      <c r="AE78" s="39">
        <f t="shared" si="16"/>
        <v>0.06617889774911362</v>
      </c>
      <c r="AF78" s="59">
        <f t="shared" si="24"/>
        <v>0.6905611335693788</v>
      </c>
      <c r="AG78" s="96"/>
      <c r="AH78" s="96"/>
      <c r="AI78" s="96"/>
      <c r="AJ78" s="96"/>
      <c r="AK78" s="96"/>
      <c r="AL78" s="96"/>
      <c r="AM78" s="96"/>
      <c r="AN78" s="96"/>
      <c r="AP78" s="39"/>
      <c r="BX78" s="10"/>
    </row>
    <row r="79" spans="4:76" ht="12.75">
      <c r="D79" s="39"/>
      <c r="H79"/>
      <c r="K79" s="10">
        <f t="shared" si="13"/>
        <v>45.856</v>
      </c>
      <c r="L79" s="10">
        <f t="shared" si="25"/>
        <v>0.39484699370832416</v>
      </c>
      <c r="M79" s="59">
        <f t="shared" si="6"/>
        <v>0.00672748749384313</v>
      </c>
      <c r="N79" s="39">
        <f t="shared" si="9"/>
        <v>0.02340512443670878</v>
      </c>
      <c r="O79" s="39">
        <f t="shared" si="15"/>
        <v>0.08142710787632955</v>
      </c>
      <c r="P79" s="59">
        <f t="shared" si="23"/>
        <v>0.2832872739014427</v>
      </c>
      <c r="Q79" s="96"/>
      <c r="R79" s="96"/>
      <c r="S79" s="96"/>
      <c r="T79" s="96"/>
      <c r="U79" s="96"/>
      <c r="V79" s="96"/>
      <c r="W79" s="96"/>
      <c r="X79" s="96"/>
      <c r="Y79" s="96"/>
      <c r="AA79" s="10">
        <f t="shared" si="14"/>
        <v>91.456</v>
      </c>
      <c r="AB79" s="10">
        <f t="shared" si="26"/>
        <v>0.4898739951254355</v>
      </c>
      <c r="AC79" s="59">
        <f t="shared" si="7"/>
        <v>0.00038987161687053547</v>
      </c>
      <c r="AD79" s="39">
        <f t="shared" si="11"/>
        <v>0.004068218040036021</v>
      </c>
      <c r="AE79" s="39">
        <f t="shared" si="16"/>
        <v>0.04245089230686527</v>
      </c>
      <c r="AF79" s="59">
        <f t="shared" si="24"/>
        <v>0.44296501316166365</v>
      </c>
      <c r="AG79" s="96"/>
      <c r="AH79" s="96"/>
      <c r="AI79" s="96"/>
      <c r="AJ79" s="96"/>
      <c r="AK79" s="96"/>
      <c r="AL79" s="96"/>
      <c r="AM79" s="96"/>
      <c r="AN79" s="96"/>
      <c r="AP79" s="39"/>
      <c r="BX79" s="10"/>
    </row>
    <row r="80" spans="4:76" ht="12.75">
      <c r="D80" s="39"/>
      <c r="H80"/>
      <c r="J80" s="7" t="s">
        <v>96</v>
      </c>
      <c r="K80" s="48">
        <f t="shared" si="13"/>
        <v>48</v>
      </c>
      <c r="L80" s="48">
        <f t="shared" si="25"/>
        <v>0.3160009074993817</v>
      </c>
      <c r="M80" s="59">
        <f t="shared" si="6"/>
        <v>0.005384091020309836</v>
      </c>
      <c r="N80" s="52">
        <f t="shared" si="9"/>
        <v>0.0187314090771993</v>
      </c>
      <c r="O80" s="52">
        <f t="shared" si="15"/>
        <v>0.06516711636074708</v>
      </c>
      <c r="P80" s="53">
        <f t="shared" si="23"/>
        <v>0.22671829104112548</v>
      </c>
      <c r="Q80" s="53">
        <f aca="true" t="shared" si="27" ref="Q80:Q111">P72</f>
        <v>0</v>
      </c>
      <c r="R80" s="96"/>
      <c r="S80" s="96"/>
      <c r="T80" s="96"/>
      <c r="U80" s="96"/>
      <c r="V80" s="96"/>
      <c r="W80" s="96"/>
      <c r="X80" s="96"/>
      <c r="Y80" s="96"/>
      <c r="Z80" s="7" t="s">
        <v>96</v>
      </c>
      <c r="AA80" s="95">
        <f t="shared" si="14"/>
        <v>96</v>
      </c>
      <c r="AB80" s="48">
        <f t="shared" si="26"/>
        <v>0.3142329189259161</v>
      </c>
      <c r="AC80" s="59">
        <f t="shared" si="7"/>
        <v>0.0002500857310137989</v>
      </c>
      <c r="AD80" s="52">
        <f t="shared" si="11"/>
        <v>0.002609585408223708</v>
      </c>
      <c r="AE80" s="52">
        <f t="shared" si="16"/>
        <v>0.027230406049989102</v>
      </c>
      <c r="AF80" s="53">
        <f t="shared" si="24"/>
        <v>0.28414284173668947</v>
      </c>
      <c r="AG80" s="53">
        <f aca="true" t="shared" si="28" ref="AG80:AG111">AF72</f>
        <v>0</v>
      </c>
      <c r="AH80" s="96"/>
      <c r="AI80" s="96"/>
      <c r="AJ80" s="96"/>
      <c r="AK80" s="96"/>
      <c r="AL80" s="96"/>
      <c r="AM80" s="96"/>
      <c r="AN80" s="96"/>
      <c r="AP80" s="39"/>
      <c r="BX80" s="10"/>
    </row>
    <row r="81" spans="3:77" ht="12.75">
      <c r="C81" s="10"/>
      <c r="D81" s="39"/>
      <c r="H81"/>
      <c r="J81">
        <v>5</v>
      </c>
      <c r="K81" s="10">
        <f t="shared" si="13"/>
        <v>48.42666666666666</v>
      </c>
      <c r="L81" s="10">
        <f aca="true" t="shared" si="29" ref="L81:L88">SUM(M81:Q81)</f>
        <v>0.7998233625995739</v>
      </c>
      <c r="M81" s="59">
        <f aca="true" t="shared" si="30" ref="M81:M112">C$15*(EXP(-C$13*K81)-EXP(-C$14*K81))</f>
        <v>0.0051506323501475755</v>
      </c>
      <c r="N81" s="39">
        <f t="shared" si="9"/>
        <v>0.01791919958130996</v>
      </c>
      <c r="O81" s="39">
        <f t="shared" si="15"/>
        <v>0.062341415928399306</v>
      </c>
      <c r="P81" s="59">
        <f t="shared" si="23"/>
        <v>0.2168875971453114</v>
      </c>
      <c r="Q81" s="59">
        <f t="shared" si="27"/>
        <v>0.4975245175944056</v>
      </c>
      <c r="R81" s="96"/>
      <c r="S81" s="96"/>
      <c r="T81" s="96"/>
      <c r="U81" s="96"/>
      <c r="V81" s="96"/>
      <c r="W81" s="96"/>
      <c r="X81" s="96"/>
      <c r="Y81" s="96"/>
      <c r="Z81">
        <v>5</v>
      </c>
      <c r="AA81" s="10">
        <f t="shared" si="14"/>
        <v>96.42666666666666</v>
      </c>
      <c r="AB81" s="10">
        <f aca="true" t="shared" si="31" ref="AB81:AB88">SUM(AC81:AG81)</f>
        <v>2.2031620034615704</v>
      </c>
      <c r="AC81" s="59">
        <f aca="true" t="shared" si="32" ref="AC81:AC112">D$15*(EXP(-D$13*AA81)-EXP(-D$14*AA81))</f>
        <v>0.00023987365675968433</v>
      </c>
      <c r="AD81" s="39">
        <f t="shared" si="11"/>
        <v>0.0025030248305641855</v>
      </c>
      <c r="AE81" s="39">
        <f t="shared" si="16"/>
        <v>0.026118471644835693</v>
      </c>
      <c r="AF81" s="59">
        <f t="shared" si="24"/>
        <v>0.2725400694120655</v>
      </c>
      <c r="AG81" s="59">
        <f t="shared" si="28"/>
        <v>1.9017605639173456</v>
      </c>
      <c r="AH81" s="96"/>
      <c r="AI81" s="96"/>
      <c r="AJ81" s="96"/>
      <c r="AK81" s="96"/>
      <c r="AL81" s="96"/>
      <c r="AM81" s="96"/>
      <c r="AN81" s="96"/>
      <c r="AP81" s="39"/>
      <c r="BX81" s="10"/>
      <c r="BY81" s="10"/>
    </row>
    <row r="82" spans="3:77" ht="12.75">
      <c r="C82" s="10"/>
      <c r="D82" s="39"/>
      <c r="H82"/>
      <c r="K82" s="10">
        <f t="shared" si="13"/>
        <v>48.85333333333333</v>
      </c>
      <c r="L82" s="10">
        <f t="shared" si="29"/>
        <v>0.9272710919035655</v>
      </c>
      <c r="M82" s="59">
        <f t="shared" si="30"/>
        <v>0.004927296642332784</v>
      </c>
      <c r="N82" s="39">
        <f t="shared" si="9"/>
        <v>0.017142208165517727</v>
      </c>
      <c r="O82" s="39">
        <f t="shared" si="15"/>
        <v>0.05963824021985808</v>
      </c>
      <c r="P82" s="59">
        <f t="shared" si="23"/>
        <v>0.2074831703231769</v>
      </c>
      <c r="Q82" s="59">
        <f t="shared" si="27"/>
        <v>0.63808017655268</v>
      </c>
      <c r="R82" s="96"/>
      <c r="S82" s="96"/>
      <c r="T82" s="96"/>
      <c r="U82" s="96"/>
      <c r="V82" s="96"/>
      <c r="W82" s="96"/>
      <c r="X82" s="96"/>
      <c r="Y82" s="96"/>
      <c r="AA82" s="10">
        <f t="shared" si="14"/>
        <v>96.85333333333332</v>
      </c>
      <c r="AB82" s="10">
        <f t="shared" si="31"/>
        <v>2.7174904929903043</v>
      </c>
      <c r="AC82" s="59">
        <f t="shared" si="32"/>
        <v>0.00023007858534755</v>
      </c>
      <c r="AD82" s="39">
        <f t="shared" si="11"/>
        <v>0.0024008155788568016</v>
      </c>
      <c r="AE82" s="39">
        <f t="shared" si="16"/>
        <v>0.02505194229604075</v>
      </c>
      <c r="AF82" s="59">
        <f t="shared" si="24"/>
        <v>0.2614110881032356</v>
      </c>
      <c r="AG82" s="59">
        <f t="shared" si="28"/>
        <v>2.4283965684268236</v>
      </c>
      <c r="AH82" s="96"/>
      <c r="AI82" s="96"/>
      <c r="AJ82" s="96"/>
      <c r="AK82" s="96"/>
      <c r="AL82" s="96"/>
      <c r="AM82" s="96"/>
      <c r="AN82" s="96"/>
      <c r="AP82" s="39"/>
      <c r="BX82" s="10"/>
      <c r="BY82" s="10"/>
    </row>
    <row r="83" spans="3:77" ht="12.75">
      <c r="C83" s="10"/>
      <c r="D83" s="39"/>
      <c r="H83"/>
      <c r="J83" s="7" t="s">
        <v>76</v>
      </c>
      <c r="K83" s="10">
        <f t="shared" si="13"/>
        <v>49.28</v>
      </c>
      <c r="L83" s="10">
        <f t="shared" si="29"/>
        <v>0.9398968739528655</v>
      </c>
      <c r="M83" s="59">
        <f t="shared" si="30"/>
        <v>0.004713644956788321</v>
      </c>
      <c r="N83" s="39">
        <f t="shared" si="9"/>
        <v>0.01639890774454228</v>
      </c>
      <c r="O83" s="39">
        <f t="shared" si="15"/>
        <v>0.0570522764610685</v>
      </c>
      <c r="P83" s="59">
        <f t="shared" si="23"/>
        <v>0.19848652727944444</v>
      </c>
      <c r="Q83" s="59">
        <f t="shared" si="27"/>
        <v>0.663245517511022</v>
      </c>
      <c r="R83" s="96"/>
      <c r="S83" s="96"/>
      <c r="T83" s="96"/>
      <c r="U83" s="96"/>
      <c r="V83" s="96"/>
      <c r="W83" s="96"/>
      <c r="X83" s="96"/>
      <c r="Y83" s="96"/>
      <c r="Z83" s="7" t="s">
        <v>76</v>
      </c>
      <c r="AA83" s="10">
        <f t="shared" si="14"/>
        <v>97.28</v>
      </c>
      <c r="AB83" s="10">
        <f t="shared" si="31"/>
        <v>2.7985405492998097</v>
      </c>
      <c r="AC83" s="59">
        <f t="shared" si="32"/>
        <v>0.00022068348876076683</v>
      </c>
      <c r="AD83" s="39">
        <f t="shared" si="11"/>
        <v>0.0023027799697785314</v>
      </c>
      <c r="AE83" s="39">
        <f t="shared" si="16"/>
        <v>0.02402896392018589</v>
      </c>
      <c r="AF83" s="59">
        <f t="shared" si="24"/>
        <v>0.2507365508885877</v>
      </c>
      <c r="AG83" s="59">
        <f t="shared" si="28"/>
        <v>2.5212515710324968</v>
      </c>
      <c r="AH83" s="96"/>
      <c r="AI83" s="96"/>
      <c r="AJ83" s="96"/>
      <c r="AK83" s="96"/>
      <c r="AL83" s="96"/>
      <c r="AM83" s="96"/>
      <c r="AN83" s="96"/>
      <c r="AP83" s="39"/>
      <c r="BX83" s="10"/>
      <c r="BY83" s="10"/>
    </row>
    <row r="84" spans="3:77" ht="12.75">
      <c r="C84" s="10"/>
      <c r="D84" s="39"/>
      <c r="H84"/>
      <c r="K84" s="10">
        <f t="shared" si="13"/>
        <v>51.424</v>
      </c>
      <c r="L84" s="10">
        <f t="shared" si="29"/>
        <v>0.7739579301763626</v>
      </c>
      <c r="M84" s="59">
        <f t="shared" si="30"/>
        <v>0.003772388058394585</v>
      </c>
      <c r="N84" s="39">
        <f t="shared" si="9"/>
        <v>0.013124247649822278</v>
      </c>
      <c r="O84" s="39">
        <f t="shared" si="15"/>
        <v>0.045659638856763926</v>
      </c>
      <c r="P84" s="59">
        <f t="shared" si="23"/>
        <v>0.1588512100774277</v>
      </c>
      <c r="Q84" s="59">
        <f t="shared" si="27"/>
        <v>0.5525504455339542</v>
      </c>
      <c r="R84" s="96"/>
      <c r="S84" s="96"/>
      <c r="T84" s="96"/>
      <c r="U84" s="96"/>
      <c r="V84" s="96"/>
      <c r="W84" s="96"/>
      <c r="X84" s="96"/>
      <c r="Y84" s="96"/>
      <c r="AA84" s="10">
        <f t="shared" si="14"/>
        <v>101.824</v>
      </c>
      <c r="AB84" s="10">
        <f t="shared" si="31"/>
        <v>1.8561604520911485</v>
      </c>
      <c r="AC84" s="59">
        <f t="shared" si="32"/>
        <v>0.00014155888559525174</v>
      </c>
      <c r="AD84" s="39">
        <f t="shared" si="11"/>
        <v>0.001477133464417428</v>
      </c>
      <c r="AE84" s="39">
        <f t="shared" si="16"/>
        <v>0.015413538065992115</v>
      </c>
      <c r="AF84" s="59">
        <f t="shared" si="24"/>
        <v>0.16083662135803473</v>
      </c>
      <c r="AG84" s="59">
        <f t="shared" si="28"/>
        <v>1.6782916003171091</v>
      </c>
      <c r="AH84" s="96"/>
      <c r="AI84" s="96"/>
      <c r="AJ84" s="96"/>
      <c r="AK84" s="96"/>
      <c r="AL84" s="96"/>
      <c r="AM84" s="96"/>
      <c r="AN84" s="96"/>
      <c r="AP84" s="39"/>
      <c r="BX84" s="10"/>
      <c r="BY84" s="10"/>
    </row>
    <row r="85" spans="3:77" ht="12.75">
      <c r="C85" s="10"/>
      <c r="D85" s="39"/>
      <c r="H85"/>
      <c r="K85" s="10">
        <f t="shared" si="13"/>
        <v>53.568</v>
      </c>
      <c r="L85" s="10">
        <f t="shared" si="29"/>
        <v>0.6194857601181214</v>
      </c>
      <c r="M85" s="59">
        <f t="shared" si="30"/>
        <v>0.0030190885808282037</v>
      </c>
      <c r="N85" s="39">
        <f t="shared" si="9"/>
        <v>0.01050349688266225</v>
      </c>
      <c r="O85" s="39">
        <f t="shared" si="15"/>
        <v>0.03654197080028415</v>
      </c>
      <c r="P85" s="59">
        <f t="shared" si="23"/>
        <v>0.12713057802425579</v>
      </c>
      <c r="Q85" s="59">
        <f t="shared" si="27"/>
        <v>0.442290625830091</v>
      </c>
      <c r="AA85" s="10">
        <f t="shared" si="14"/>
        <v>106.368</v>
      </c>
      <c r="AB85" s="10">
        <f t="shared" si="31"/>
        <v>1.1906467204501623</v>
      </c>
      <c r="AC85" s="59">
        <f t="shared" si="32"/>
        <v>9.080388480124507E-05</v>
      </c>
      <c r="AD85" s="39">
        <f t="shared" si="11"/>
        <v>0.000947517044762066</v>
      </c>
      <c r="AE85" s="39">
        <f t="shared" si="16"/>
        <v>0.009887116086274853</v>
      </c>
      <c r="AF85" s="59">
        <f t="shared" si="24"/>
        <v>0.10316971609521032</v>
      </c>
      <c r="AG85" s="59">
        <f t="shared" si="28"/>
        <v>1.0765515673391137</v>
      </c>
      <c r="AP85" s="39"/>
      <c r="BX85" s="10"/>
      <c r="BY85" s="10"/>
    </row>
    <row r="86" spans="3:77" ht="12.75">
      <c r="C86" s="10"/>
      <c r="D86" s="39"/>
      <c r="H86"/>
      <c r="K86" s="10">
        <f t="shared" si="13"/>
        <v>55.712</v>
      </c>
      <c r="L86" s="10">
        <f t="shared" si="29"/>
        <v>0.4957823539963855</v>
      </c>
      <c r="M86" s="59">
        <f t="shared" si="30"/>
        <v>0.0024162137398892796</v>
      </c>
      <c r="N86" s="39">
        <f t="shared" si="9"/>
        <v>0.008406077796435778</v>
      </c>
      <c r="O86" s="39">
        <f t="shared" si="15"/>
        <v>0.02924498886550019</v>
      </c>
      <c r="P86" s="59">
        <f t="shared" si="23"/>
        <v>0.10174416588267461</v>
      </c>
      <c r="Q86" s="59">
        <f t="shared" si="27"/>
        <v>0.3539709077118856</v>
      </c>
      <c r="AA86" s="10">
        <f t="shared" si="14"/>
        <v>110.912</v>
      </c>
      <c r="AB86" s="10">
        <f t="shared" si="31"/>
        <v>0.7637482252585464</v>
      </c>
      <c r="AC86" s="59">
        <f t="shared" si="32"/>
        <v>5.824675335869101E-05</v>
      </c>
      <c r="AD86" s="39">
        <f t="shared" si="11"/>
        <v>0.0006077910843816135</v>
      </c>
      <c r="AE86" s="39">
        <f t="shared" si="16"/>
        <v>0.006342156102313608</v>
      </c>
      <c r="AF86" s="59">
        <f t="shared" si="24"/>
        <v>0.06617889774911362</v>
      </c>
      <c r="AG86" s="59">
        <f t="shared" si="28"/>
        <v>0.6905611335693788</v>
      </c>
      <c r="AP86" s="39"/>
      <c r="BX86" s="10"/>
      <c r="BY86" s="10"/>
    </row>
    <row r="87" spans="3:78" ht="12.75">
      <c r="C87" s="10"/>
      <c r="D87" s="39"/>
      <c r="H87"/>
      <c r="K87" s="10">
        <f t="shared" si="13"/>
        <v>57.856</v>
      </c>
      <c r="L87" s="10">
        <f t="shared" si="29"/>
        <v>0.39678071929488123</v>
      </c>
      <c r="M87" s="59">
        <f t="shared" si="30"/>
        <v>0.0019337255865570634</v>
      </c>
      <c r="N87" s="39">
        <f t="shared" si="9"/>
        <v>0.00672748749384313</v>
      </c>
      <c r="O87" s="39">
        <f t="shared" si="15"/>
        <v>0.02340512443670878</v>
      </c>
      <c r="P87" s="59">
        <f t="shared" si="23"/>
        <v>0.08142710787632955</v>
      </c>
      <c r="Q87" s="59">
        <f t="shared" si="27"/>
        <v>0.2832872739014427</v>
      </c>
      <c r="AA87" s="10">
        <f t="shared" si="14"/>
        <v>115.456</v>
      </c>
      <c r="AB87" s="10">
        <f t="shared" si="31"/>
        <v>0.4899113578911834</v>
      </c>
      <c r="AC87" s="59">
        <f t="shared" si="32"/>
        <v>3.736276574789969E-05</v>
      </c>
      <c r="AD87" s="39">
        <f t="shared" si="11"/>
        <v>0.00038987161687053547</v>
      </c>
      <c r="AE87" s="39">
        <f t="shared" si="16"/>
        <v>0.004068218040036021</v>
      </c>
      <c r="AF87" s="59">
        <f t="shared" si="24"/>
        <v>0.04245089230686527</v>
      </c>
      <c r="AG87" s="59">
        <f t="shared" si="28"/>
        <v>0.44296501316166365</v>
      </c>
      <c r="AP87" s="39"/>
      <c r="BX87" s="10"/>
      <c r="BY87" s="10"/>
      <c r="BZ87" s="10"/>
    </row>
    <row r="88" spans="3:78" ht="12.75">
      <c r="C88" s="10"/>
      <c r="D88" s="39"/>
      <c r="H88"/>
      <c r="J88" s="7" t="s">
        <v>96</v>
      </c>
      <c r="K88" s="48">
        <f t="shared" si="13"/>
        <v>60</v>
      </c>
      <c r="L88" s="48">
        <f t="shared" si="29"/>
        <v>0.3175484918800072</v>
      </c>
      <c r="M88" s="59">
        <f t="shared" si="30"/>
        <v>0.001547584380625535</v>
      </c>
      <c r="N88" s="52">
        <f aca="true" t="shared" si="33" ref="N88:N119">M80</f>
        <v>0.005384091020309836</v>
      </c>
      <c r="O88" s="52">
        <f t="shared" si="15"/>
        <v>0.0187314090771993</v>
      </c>
      <c r="P88" s="53">
        <f t="shared" si="23"/>
        <v>0.06516711636074708</v>
      </c>
      <c r="Q88" s="53">
        <f t="shared" si="27"/>
        <v>0.22671829104112548</v>
      </c>
      <c r="R88" s="52">
        <f aca="true" t="shared" si="34" ref="R88:R119">Q80</f>
        <v>0</v>
      </c>
      <c r="Z88" s="7" t="s">
        <v>96</v>
      </c>
      <c r="AA88" s="95">
        <f t="shared" si="14"/>
        <v>120</v>
      </c>
      <c r="AB88" s="48">
        <f t="shared" si="31"/>
        <v>0.31425688551948283</v>
      </c>
      <c r="AC88" s="59">
        <f t="shared" si="32"/>
        <v>2.3966593566783412E-05</v>
      </c>
      <c r="AD88" s="52">
        <f aca="true" t="shared" si="35" ref="AD88:AD119">AC80</f>
        <v>0.0002500857310137989</v>
      </c>
      <c r="AE88" s="52">
        <f t="shared" si="16"/>
        <v>0.002609585408223708</v>
      </c>
      <c r="AF88" s="53">
        <f t="shared" si="24"/>
        <v>0.027230406049989102</v>
      </c>
      <c r="AG88" s="53">
        <f t="shared" si="28"/>
        <v>0.28414284173668947</v>
      </c>
      <c r="AH88" s="52">
        <f aca="true" t="shared" si="36" ref="AH88:AH119">AG80</f>
        <v>0</v>
      </c>
      <c r="AO88" s="10"/>
      <c r="AP88" s="39"/>
      <c r="BX88" s="10"/>
      <c r="BY88" s="10"/>
      <c r="BZ88" s="10"/>
    </row>
    <row r="89" spans="3:78" ht="12.75">
      <c r="C89" s="10"/>
      <c r="D89" s="39"/>
      <c r="H89"/>
      <c r="J89">
        <v>6</v>
      </c>
      <c r="K89" s="10">
        <f aca="true" t="shared" si="37" ref="K89:K120">K81+C$11</f>
        <v>60.42666666666666</v>
      </c>
      <c r="L89" s="10">
        <f aca="true" t="shared" si="38" ref="L89:L96">SUM(M89:R89)</f>
        <v>0.8013038424327276</v>
      </c>
      <c r="M89" s="59">
        <f t="shared" si="30"/>
        <v>0.0014804798331537635</v>
      </c>
      <c r="N89" s="39">
        <f t="shared" si="33"/>
        <v>0.0051506323501475755</v>
      </c>
      <c r="O89" s="39">
        <f t="shared" si="15"/>
        <v>0.01791919958130996</v>
      </c>
      <c r="P89" s="59">
        <f t="shared" si="23"/>
        <v>0.062341415928399306</v>
      </c>
      <c r="Q89" s="59">
        <f t="shared" si="27"/>
        <v>0.2168875971453114</v>
      </c>
      <c r="R89" s="39">
        <f t="shared" si="34"/>
        <v>0.4975245175944056</v>
      </c>
      <c r="Z89">
        <v>6</v>
      </c>
      <c r="AA89" s="10">
        <f aca="true" t="shared" si="39" ref="AA89:AA120">AA81+D$11</f>
        <v>120.42666666666666</v>
      </c>
      <c r="AB89" s="10">
        <f aca="true" t="shared" si="40" ref="AB89:AB96">SUM(AC89:AH89)</f>
        <v>2.2031849913962107</v>
      </c>
      <c r="AC89" s="59">
        <f t="shared" si="32"/>
        <v>2.2987934639982533E-05</v>
      </c>
      <c r="AD89" s="39">
        <f t="shared" si="35"/>
        <v>0.00023987365675968433</v>
      </c>
      <c r="AE89" s="39">
        <f t="shared" si="16"/>
        <v>0.0025030248305641855</v>
      </c>
      <c r="AF89" s="59">
        <f t="shared" si="24"/>
        <v>0.026118471644835693</v>
      </c>
      <c r="AG89" s="59">
        <f t="shared" si="28"/>
        <v>0.2725400694120655</v>
      </c>
      <c r="AH89" s="39">
        <f t="shared" si="36"/>
        <v>1.9017605639173456</v>
      </c>
      <c r="AO89" s="10"/>
      <c r="AP89" s="39"/>
      <c r="BX89" s="10"/>
      <c r="BY89" s="10"/>
      <c r="BZ89" s="10"/>
    </row>
    <row r="90" spans="3:78" ht="12.75">
      <c r="C90" s="10"/>
      <c r="D90" s="39"/>
      <c r="H90"/>
      <c r="K90" s="10">
        <f t="shared" si="37"/>
        <v>60.85333333333333</v>
      </c>
      <c r="L90" s="10">
        <f t="shared" si="38"/>
        <v>0.9286873768983062</v>
      </c>
      <c r="M90" s="59">
        <f t="shared" si="30"/>
        <v>0.001416284994740679</v>
      </c>
      <c r="N90" s="39">
        <f t="shared" si="33"/>
        <v>0.004927296642332784</v>
      </c>
      <c r="O90" s="39">
        <f t="shared" si="15"/>
        <v>0.017142208165517727</v>
      </c>
      <c r="P90" s="59">
        <f t="shared" si="23"/>
        <v>0.05963824021985808</v>
      </c>
      <c r="Q90" s="59">
        <f t="shared" si="27"/>
        <v>0.2074831703231769</v>
      </c>
      <c r="R90" s="39">
        <f t="shared" si="34"/>
        <v>0.63808017655268</v>
      </c>
      <c r="AA90" s="10">
        <f t="shared" si="39"/>
        <v>120.85333333333332</v>
      </c>
      <c r="AB90" s="10">
        <f t="shared" si="40"/>
        <v>2.7175125422288637</v>
      </c>
      <c r="AC90" s="59">
        <f t="shared" si="32"/>
        <v>2.204923855948008E-05</v>
      </c>
      <c r="AD90" s="39">
        <f t="shared" si="35"/>
        <v>0.00023007858534755</v>
      </c>
      <c r="AE90" s="39">
        <f t="shared" si="16"/>
        <v>0.0024008155788568016</v>
      </c>
      <c r="AF90" s="59">
        <f t="shared" si="24"/>
        <v>0.02505194229604075</v>
      </c>
      <c r="AG90" s="59">
        <f t="shared" si="28"/>
        <v>0.2614110881032356</v>
      </c>
      <c r="AH90" s="39">
        <f t="shared" si="36"/>
        <v>2.4283965684268236</v>
      </c>
      <c r="AO90" s="10"/>
      <c r="AP90" s="39"/>
      <c r="BX90" s="10"/>
      <c r="BY90" s="10"/>
      <c r="BZ90" s="10"/>
    </row>
    <row r="91" spans="3:78" ht="12.75">
      <c r="C91" s="10"/>
      <c r="D91" s="39"/>
      <c r="H91"/>
      <c r="J91" s="7" t="s">
        <v>76</v>
      </c>
      <c r="K91" s="10">
        <f t="shared" si="37"/>
        <v>61.28</v>
      </c>
      <c r="L91" s="10">
        <f t="shared" si="38"/>
        <v>0.941251747650844</v>
      </c>
      <c r="M91" s="59">
        <f t="shared" si="30"/>
        <v>0.001354873697978483</v>
      </c>
      <c r="N91" s="39">
        <f t="shared" si="33"/>
        <v>0.004713644956788321</v>
      </c>
      <c r="O91" s="39">
        <f t="shared" si="15"/>
        <v>0.01639890774454228</v>
      </c>
      <c r="P91" s="59">
        <f t="shared" si="23"/>
        <v>0.0570522764610685</v>
      </c>
      <c r="Q91" s="59">
        <f t="shared" si="27"/>
        <v>0.19848652727944444</v>
      </c>
      <c r="R91" s="39">
        <f t="shared" si="34"/>
        <v>0.663245517511022</v>
      </c>
      <c r="Z91" s="7" t="s">
        <v>76</v>
      </c>
      <c r="AA91" s="10">
        <f t="shared" si="39"/>
        <v>121.28</v>
      </c>
      <c r="AB91" s="10">
        <f t="shared" si="40"/>
        <v>2.7985616981732804</v>
      </c>
      <c r="AC91" s="59">
        <f t="shared" si="32"/>
        <v>2.1148873470663072E-05</v>
      </c>
      <c r="AD91" s="39">
        <f t="shared" si="35"/>
        <v>0.00022068348876076683</v>
      </c>
      <c r="AE91" s="39">
        <f t="shared" si="16"/>
        <v>0.0023027799697785314</v>
      </c>
      <c r="AF91" s="59">
        <f t="shared" si="24"/>
        <v>0.02402896392018589</v>
      </c>
      <c r="AG91" s="59">
        <f t="shared" si="28"/>
        <v>0.2507365508885877</v>
      </c>
      <c r="AH91" s="39">
        <f t="shared" si="36"/>
        <v>2.5212515710324968</v>
      </c>
      <c r="AO91" s="10"/>
      <c r="AP91" s="39"/>
      <c r="BX91" s="10"/>
      <c r="BY91" s="10"/>
      <c r="BZ91" s="10"/>
    </row>
    <row r="92" spans="3:78" ht="12.75">
      <c r="C92" s="10"/>
      <c r="D92" s="39"/>
      <c r="H92"/>
      <c r="K92" s="10">
        <f t="shared" si="37"/>
        <v>63.424</v>
      </c>
      <c r="L92" s="10">
        <f t="shared" si="38"/>
        <v>0.7750422522680226</v>
      </c>
      <c r="M92" s="59">
        <f t="shared" si="30"/>
        <v>0.0010843220916599192</v>
      </c>
      <c r="N92" s="39">
        <f t="shared" si="33"/>
        <v>0.003772388058394585</v>
      </c>
      <c r="O92" s="39">
        <f t="shared" si="15"/>
        <v>0.013124247649822278</v>
      </c>
      <c r="P92" s="59">
        <f t="shared" si="23"/>
        <v>0.045659638856763926</v>
      </c>
      <c r="Q92" s="59">
        <f t="shared" si="27"/>
        <v>0.1588512100774277</v>
      </c>
      <c r="R92" s="39">
        <f t="shared" si="34"/>
        <v>0.5525504455339542</v>
      </c>
      <c r="AA92" s="10">
        <f t="shared" si="39"/>
        <v>125.824</v>
      </c>
      <c r="AB92" s="10">
        <f t="shared" si="40"/>
        <v>1.856174018176119</v>
      </c>
      <c r="AC92" s="59">
        <f t="shared" si="32"/>
        <v>1.3566084970441562E-05</v>
      </c>
      <c r="AD92" s="39">
        <f t="shared" si="35"/>
        <v>0.00014155888559525174</v>
      </c>
      <c r="AE92" s="39">
        <f t="shared" si="16"/>
        <v>0.001477133464417428</v>
      </c>
      <c r="AF92" s="59">
        <f t="shared" si="24"/>
        <v>0.015413538065992115</v>
      </c>
      <c r="AG92" s="59">
        <f t="shared" si="28"/>
        <v>0.16083662135803473</v>
      </c>
      <c r="AH92" s="39">
        <f t="shared" si="36"/>
        <v>1.6782916003171091</v>
      </c>
      <c r="AO92" s="10"/>
      <c r="AP92" s="39"/>
      <c r="BX92" s="10"/>
      <c r="BY92" s="10"/>
      <c r="BZ92" s="10"/>
    </row>
    <row r="93" spans="3:78" ht="12.75">
      <c r="C93" s="10"/>
      <c r="D93" s="39"/>
      <c r="H93"/>
      <c r="K93" s="10">
        <f t="shared" si="37"/>
        <v>65.568</v>
      </c>
      <c r="L93" s="10">
        <f t="shared" si="38"/>
        <v>0.6203535564302175</v>
      </c>
      <c r="M93" s="59">
        <f t="shared" si="30"/>
        <v>0.0008677963120961062</v>
      </c>
      <c r="N93" s="39">
        <f t="shared" si="33"/>
        <v>0.0030190885808282037</v>
      </c>
      <c r="O93" s="39">
        <f t="shared" si="15"/>
        <v>0.01050349688266225</v>
      </c>
      <c r="P93" s="59">
        <f t="shared" si="23"/>
        <v>0.03654197080028415</v>
      </c>
      <c r="Q93" s="59">
        <f t="shared" si="27"/>
        <v>0.12713057802425579</v>
      </c>
      <c r="R93" s="39">
        <f t="shared" si="34"/>
        <v>0.442290625830091</v>
      </c>
      <c r="AA93" s="10">
        <f t="shared" si="39"/>
        <v>130.368</v>
      </c>
      <c r="AB93" s="10">
        <f t="shared" si="40"/>
        <v>1.1906554225052235</v>
      </c>
      <c r="AC93" s="59">
        <f t="shared" si="32"/>
        <v>8.702055061255706E-06</v>
      </c>
      <c r="AD93" s="39">
        <f t="shared" si="35"/>
        <v>9.080388480124507E-05</v>
      </c>
      <c r="AE93" s="39">
        <f t="shared" si="16"/>
        <v>0.000947517044762066</v>
      </c>
      <c r="AF93" s="59">
        <f t="shared" si="24"/>
        <v>0.009887116086274853</v>
      </c>
      <c r="AG93" s="59">
        <f t="shared" si="28"/>
        <v>0.10316971609521032</v>
      </c>
      <c r="AH93" s="39">
        <f t="shared" si="36"/>
        <v>1.0765515673391137</v>
      </c>
      <c r="AO93" s="10"/>
      <c r="AP93" s="39"/>
      <c r="BX93" s="10"/>
      <c r="BY93" s="10"/>
      <c r="BZ93" s="10"/>
    </row>
    <row r="94" spans="3:42" ht="12.75">
      <c r="C94" s="10"/>
      <c r="D94" s="39"/>
      <c r="H94" s="59"/>
      <c r="K94" s="10">
        <f t="shared" si="37"/>
        <v>67.712</v>
      </c>
      <c r="L94" s="10">
        <f t="shared" si="38"/>
        <v>0.4964768620628353</v>
      </c>
      <c r="M94" s="59">
        <f t="shared" si="30"/>
        <v>0.0006945080664498639</v>
      </c>
      <c r="N94" s="39">
        <f t="shared" si="33"/>
        <v>0.0024162137398892796</v>
      </c>
      <c r="O94" s="39">
        <f t="shared" si="15"/>
        <v>0.008406077796435778</v>
      </c>
      <c r="P94" s="59">
        <f t="shared" si="23"/>
        <v>0.02924498886550019</v>
      </c>
      <c r="Q94" s="59">
        <f t="shared" si="27"/>
        <v>0.10174416588267461</v>
      </c>
      <c r="R94" s="39">
        <f t="shared" si="34"/>
        <v>0.3539709077118856</v>
      </c>
      <c r="AA94" s="10">
        <f t="shared" si="39"/>
        <v>134.912</v>
      </c>
      <c r="AB94" s="10">
        <f t="shared" si="40"/>
        <v>0.7637538072494047</v>
      </c>
      <c r="AC94" s="59">
        <f t="shared" si="32"/>
        <v>5.581990858388472E-06</v>
      </c>
      <c r="AD94" s="39">
        <f t="shared" si="35"/>
        <v>5.824675335869101E-05</v>
      </c>
      <c r="AE94" s="39">
        <f t="shared" si="16"/>
        <v>0.0006077910843816135</v>
      </c>
      <c r="AF94" s="59">
        <f t="shared" si="24"/>
        <v>0.006342156102313608</v>
      </c>
      <c r="AG94" s="59">
        <f t="shared" si="28"/>
        <v>0.06617889774911362</v>
      </c>
      <c r="AH94" s="39">
        <f t="shared" si="36"/>
        <v>0.6905611335693788</v>
      </c>
      <c r="AO94" s="10"/>
      <c r="AP94" s="39"/>
    </row>
    <row r="95" spans="3:43" ht="12.75">
      <c r="C95" s="10"/>
      <c r="D95" s="39"/>
      <c r="H95" s="59"/>
      <c r="K95" s="10">
        <f t="shared" si="37"/>
        <v>69.856</v>
      </c>
      <c r="L95" s="10">
        <f t="shared" si="38"/>
        <v>0.3973365426460993</v>
      </c>
      <c r="M95" s="59">
        <f t="shared" si="30"/>
        <v>0.0005558233512180579</v>
      </c>
      <c r="N95" s="39">
        <f t="shared" si="33"/>
        <v>0.0019337255865570634</v>
      </c>
      <c r="O95" s="39">
        <f t="shared" si="15"/>
        <v>0.00672748749384313</v>
      </c>
      <c r="P95" s="59">
        <f t="shared" si="23"/>
        <v>0.02340512443670878</v>
      </c>
      <c r="Q95" s="59">
        <f t="shared" si="27"/>
        <v>0.08142710787632955</v>
      </c>
      <c r="R95" s="39">
        <f t="shared" si="34"/>
        <v>0.2832872739014427</v>
      </c>
      <c r="AA95" s="10">
        <f t="shared" si="39"/>
        <v>139.45600000000002</v>
      </c>
      <c r="AB95" s="10">
        <f t="shared" si="40"/>
        <v>0.4899149384961926</v>
      </c>
      <c r="AC95" s="59">
        <f t="shared" si="32"/>
        <v>3.5806050092535597E-06</v>
      </c>
      <c r="AD95" s="39">
        <f t="shared" si="35"/>
        <v>3.736276574789969E-05</v>
      </c>
      <c r="AE95" s="39">
        <f t="shared" si="16"/>
        <v>0.00038987161687053547</v>
      </c>
      <c r="AF95" s="59">
        <f t="shared" si="24"/>
        <v>0.004068218040036021</v>
      </c>
      <c r="AG95" s="59">
        <f t="shared" si="28"/>
        <v>0.04245089230686527</v>
      </c>
      <c r="AH95" s="39">
        <f t="shared" si="36"/>
        <v>0.44296501316166365</v>
      </c>
      <c r="AO95" s="10"/>
      <c r="AP95" s="39"/>
      <c r="AQ95" s="20"/>
    </row>
    <row r="96" spans="3:43" ht="12.75">
      <c r="C96" s="10"/>
      <c r="D96" s="39"/>
      <c r="H96" s="59"/>
      <c r="J96" s="7" t="s">
        <v>96</v>
      </c>
      <c r="K96" s="48">
        <f t="shared" si="37"/>
        <v>72</v>
      </c>
      <c r="L96" s="48">
        <f t="shared" si="38"/>
        <v>0.31799332414716647</v>
      </c>
      <c r="M96" s="59">
        <f t="shared" si="30"/>
        <v>0.000444832267159238</v>
      </c>
      <c r="N96" s="52">
        <f t="shared" si="33"/>
        <v>0.001547584380625535</v>
      </c>
      <c r="O96" s="52">
        <f aca="true" t="shared" si="41" ref="O96:O127">N88</f>
        <v>0.005384091020309836</v>
      </c>
      <c r="P96" s="53">
        <f t="shared" si="23"/>
        <v>0.0187314090771993</v>
      </c>
      <c r="Q96" s="53">
        <f t="shared" si="27"/>
        <v>0.06516711636074708</v>
      </c>
      <c r="R96" s="52">
        <f t="shared" si="34"/>
        <v>0.22671829104112548</v>
      </c>
      <c r="S96" s="52">
        <f aca="true" t="shared" si="42" ref="S96:S127">R88</f>
        <v>0</v>
      </c>
      <c r="Z96" s="7" t="s">
        <v>96</v>
      </c>
      <c r="AA96" s="95">
        <f t="shared" si="39"/>
        <v>144</v>
      </c>
      <c r="AB96" s="48">
        <f t="shared" si="40"/>
        <v>0.3142591823222827</v>
      </c>
      <c r="AC96" s="59">
        <f t="shared" si="32"/>
        <v>2.296802799851426E-06</v>
      </c>
      <c r="AD96" s="52">
        <f t="shared" si="35"/>
        <v>2.3966593566783412E-05</v>
      </c>
      <c r="AE96" s="52">
        <f aca="true" t="shared" si="43" ref="AE96:AE127">AD88</f>
        <v>0.0002500857310137989</v>
      </c>
      <c r="AF96" s="53">
        <f t="shared" si="24"/>
        <v>0.002609585408223708</v>
      </c>
      <c r="AG96" s="53">
        <f t="shared" si="28"/>
        <v>0.027230406049989102</v>
      </c>
      <c r="AH96" s="52">
        <f t="shared" si="36"/>
        <v>0.28414284173668947</v>
      </c>
      <c r="AI96" s="52">
        <f aca="true" t="shared" si="44" ref="AI96:AI127">AH88</f>
        <v>0</v>
      </c>
      <c r="AO96" s="10"/>
      <c r="AP96" s="39"/>
      <c r="AQ96" s="20"/>
    </row>
    <row r="97" spans="3:43" ht="12.75">
      <c r="C97" s="10"/>
      <c r="D97" s="39"/>
      <c r="H97" s="59"/>
      <c r="J97">
        <v>7</v>
      </c>
      <c r="K97" s="10">
        <f t="shared" si="37"/>
        <v>72.42666666666666</v>
      </c>
      <c r="L97" s="10">
        <f aca="true" t="shared" si="45" ref="L97:L104">SUM(M97:S97)</f>
        <v>0.8017293864023554</v>
      </c>
      <c r="M97" s="59">
        <f t="shared" si="30"/>
        <v>0.0004255439696277671</v>
      </c>
      <c r="N97" s="39">
        <f t="shared" si="33"/>
        <v>0.0014804798331537635</v>
      </c>
      <c r="O97" s="39">
        <f t="shared" si="41"/>
        <v>0.0051506323501475755</v>
      </c>
      <c r="P97" s="59">
        <f t="shared" si="23"/>
        <v>0.01791919958130996</v>
      </c>
      <c r="Q97" s="59">
        <f t="shared" si="27"/>
        <v>0.062341415928399306</v>
      </c>
      <c r="R97" s="39">
        <f t="shared" si="34"/>
        <v>0.2168875971453114</v>
      </c>
      <c r="S97" s="39">
        <f t="shared" si="42"/>
        <v>0.4975245175944056</v>
      </c>
      <c r="Z97">
        <v>7</v>
      </c>
      <c r="AA97" s="10">
        <f t="shared" si="39"/>
        <v>144.42666666666668</v>
      </c>
      <c r="AB97" s="10">
        <f aca="true" t="shared" si="46" ref="AB97:AB104">SUM(AC97:AI97)</f>
        <v>2.20318719441069</v>
      </c>
      <c r="AC97" s="59">
        <f t="shared" si="32"/>
        <v>2.2030144791661176E-06</v>
      </c>
      <c r="AD97" s="39">
        <f t="shared" si="35"/>
        <v>2.2987934639982533E-05</v>
      </c>
      <c r="AE97" s="39">
        <f t="shared" si="43"/>
        <v>0.00023987365675968433</v>
      </c>
      <c r="AF97" s="59">
        <f t="shared" si="24"/>
        <v>0.0025030248305641855</v>
      </c>
      <c r="AG97" s="59">
        <f t="shared" si="28"/>
        <v>0.026118471644835693</v>
      </c>
      <c r="AH97" s="39">
        <f t="shared" si="36"/>
        <v>0.2725400694120655</v>
      </c>
      <c r="AI97" s="39">
        <f t="shared" si="44"/>
        <v>1.9017605639173456</v>
      </c>
      <c r="AO97" s="10"/>
      <c r="AP97" s="39"/>
      <c r="AQ97" s="20"/>
    </row>
    <row r="98" spans="3:43" ht="12.75">
      <c r="C98" s="10"/>
      <c r="D98" s="39"/>
      <c r="K98" s="10">
        <f t="shared" si="37"/>
        <v>72.85333333333332</v>
      </c>
      <c r="L98" s="10">
        <f t="shared" si="45"/>
        <v>0.9290944689270455</v>
      </c>
      <c r="M98" s="59">
        <f t="shared" si="30"/>
        <v>0.00040709202873930305</v>
      </c>
      <c r="N98" s="39">
        <f t="shared" si="33"/>
        <v>0.001416284994740679</v>
      </c>
      <c r="O98" s="39">
        <f t="shared" si="41"/>
        <v>0.004927296642332784</v>
      </c>
      <c r="P98" s="59">
        <f t="shared" si="23"/>
        <v>0.017142208165517727</v>
      </c>
      <c r="Q98" s="59">
        <f t="shared" si="27"/>
        <v>0.05963824021985808</v>
      </c>
      <c r="R98" s="39">
        <f t="shared" si="34"/>
        <v>0.2074831703231769</v>
      </c>
      <c r="S98" s="39">
        <f t="shared" si="42"/>
        <v>0.63808017655268</v>
      </c>
      <c r="AA98" s="10">
        <f t="shared" si="39"/>
        <v>144.85333333333332</v>
      </c>
      <c r="AB98" s="10">
        <f t="shared" si="46"/>
        <v>2.717514655284802</v>
      </c>
      <c r="AC98" s="59">
        <f t="shared" si="32"/>
        <v>2.113055938337206E-06</v>
      </c>
      <c r="AD98" s="39">
        <f t="shared" si="35"/>
        <v>2.204923855948008E-05</v>
      </c>
      <c r="AE98" s="39">
        <f t="shared" si="43"/>
        <v>0.00023007858534755</v>
      </c>
      <c r="AF98" s="59">
        <f t="shared" si="24"/>
        <v>0.0024008155788568016</v>
      </c>
      <c r="AG98" s="59">
        <f t="shared" si="28"/>
        <v>0.02505194229604075</v>
      </c>
      <c r="AH98" s="39">
        <f t="shared" si="36"/>
        <v>0.2614110881032356</v>
      </c>
      <c r="AI98" s="39">
        <f t="shared" si="44"/>
        <v>2.4283965684268236</v>
      </c>
      <c r="AO98" s="10"/>
      <c r="AP98" s="39"/>
      <c r="AQ98" s="39"/>
    </row>
    <row r="99" spans="3:43" ht="12.75">
      <c r="C99" s="10"/>
      <c r="D99" s="39"/>
      <c r="J99" s="7" t="s">
        <v>76</v>
      </c>
      <c r="K99" s="10">
        <f t="shared" si="37"/>
        <v>73.28</v>
      </c>
      <c r="L99" s="10">
        <f t="shared" si="45"/>
        <v>0.9416411878302173</v>
      </c>
      <c r="M99" s="59">
        <f t="shared" si="30"/>
        <v>0.00038944017937334144</v>
      </c>
      <c r="N99" s="39">
        <f t="shared" si="33"/>
        <v>0.001354873697978483</v>
      </c>
      <c r="O99" s="39">
        <f t="shared" si="41"/>
        <v>0.004713644956788321</v>
      </c>
      <c r="P99" s="59">
        <f t="shared" si="23"/>
        <v>0.01639890774454228</v>
      </c>
      <c r="Q99" s="59">
        <f t="shared" si="27"/>
        <v>0.0570522764610685</v>
      </c>
      <c r="R99" s="39">
        <f t="shared" si="34"/>
        <v>0.19848652727944444</v>
      </c>
      <c r="S99" s="39">
        <f t="shared" si="42"/>
        <v>0.663245517511022</v>
      </c>
      <c r="Z99" s="7" t="s">
        <v>76</v>
      </c>
      <c r="AA99" s="10">
        <f t="shared" si="39"/>
        <v>145.28</v>
      </c>
      <c r="AB99" s="10">
        <f t="shared" si="46"/>
        <v>2.798563724944071</v>
      </c>
      <c r="AC99" s="59">
        <f t="shared" si="32"/>
        <v>2.026770791008235E-06</v>
      </c>
      <c r="AD99" s="39">
        <f t="shared" si="35"/>
        <v>2.1148873470663072E-05</v>
      </c>
      <c r="AE99" s="39">
        <f t="shared" si="43"/>
        <v>0.00022068348876076683</v>
      </c>
      <c r="AF99" s="59">
        <f t="shared" si="24"/>
        <v>0.0023027799697785314</v>
      </c>
      <c r="AG99" s="59">
        <f t="shared" si="28"/>
        <v>0.02402896392018589</v>
      </c>
      <c r="AH99" s="39">
        <f t="shared" si="36"/>
        <v>0.2507365508885877</v>
      </c>
      <c r="AI99" s="39">
        <f t="shared" si="44"/>
        <v>2.5212515710324968</v>
      </c>
      <c r="AP99" s="39"/>
      <c r="AQ99" s="39"/>
    </row>
    <row r="100" spans="3:43" ht="12.75">
      <c r="C100" s="10"/>
      <c r="D100" s="39"/>
      <c r="K100" s="10">
        <f t="shared" si="37"/>
        <v>75.424</v>
      </c>
      <c r="L100" s="10">
        <f t="shared" si="45"/>
        <v>0.7753539260354775</v>
      </c>
      <c r="M100" s="59">
        <f t="shared" si="30"/>
        <v>0.00031167376745490675</v>
      </c>
      <c r="N100" s="39">
        <f t="shared" si="33"/>
        <v>0.0010843220916599192</v>
      </c>
      <c r="O100" s="39">
        <f t="shared" si="41"/>
        <v>0.003772388058394585</v>
      </c>
      <c r="P100" s="59">
        <f t="shared" si="23"/>
        <v>0.013124247649822278</v>
      </c>
      <c r="Q100" s="59">
        <f t="shared" si="27"/>
        <v>0.045659638856763926</v>
      </c>
      <c r="R100" s="39">
        <f t="shared" si="34"/>
        <v>0.1588512100774277</v>
      </c>
      <c r="S100" s="39">
        <f t="shared" si="42"/>
        <v>0.5525504455339542</v>
      </c>
      <c r="AA100" s="10">
        <f t="shared" si="39"/>
        <v>149.824</v>
      </c>
      <c r="AB100" s="10">
        <f t="shared" si="46"/>
        <v>1.8561753182616676</v>
      </c>
      <c r="AC100" s="59">
        <f t="shared" si="32"/>
        <v>1.3000855485076897E-06</v>
      </c>
      <c r="AD100" s="39">
        <f t="shared" si="35"/>
        <v>1.3566084970441562E-05</v>
      </c>
      <c r="AE100" s="39">
        <f t="shared" si="43"/>
        <v>0.00014155888559525174</v>
      </c>
      <c r="AF100" s="59">
        <f t="shared" si="24"/>
        <v>0.001477133464417428</v>
      </c>
      <c r="AG100" s="59">
        <f t="shared" si="28"/>
        <v>0.015413538065992115</v>
      </c>
      <c r="AH100" s="39">
        <f t="shared" si="36"/>
        <v>0.16083662135803473</v>
      </c>
      <c r="AI100" s="39">
        <f t="shared" si="44"/>
        <v>1.6782916003171091</v>
      </c>
      <c r="AP100" s="39"/>
      <c r="AQ100" s="39"/>
    </row>
    <row r="101" spans="3:43" ht="12.75">
      <c r="C101" s="10"/>
      <c r="D101" s="39"/>
      <c r="K101" s="10">
        <f t="shared" si="37"/>
        <v>77.568</v>
      </c>
      <c r="L101" s="10">
        <f t="shared" si="45"/>
        <v>0.6206029927813301</v>
      </c>
      <c r="M101" s="59">
        <f t="shared" si="30"/>
        <v>0.00024943635111263274</v>
      </c>
      <c r="N101" s="39">
        <f t="shared" si="33"/>
        <v>0.0008677963120961062</v>
      </c>
      <c r="O101" s="39">
        <f t="shared" si="41"/>
        <v>0.0030190885808282037</v>
      </c>
      <c r="P101" s="59">
        <f t="shared" si="23"/>
        <v>0.01050349688266225</v>
      </c>
      <c r="Q101" s="59">
        <f t="shared" si="27"/>
        <v>0.03654197080028415</v>
      </c>
      <c r="R101" s="39">
        <f t="shared" si="34"/>
        <v>0.12713057802425579</v>
      </c>
      <c r="S101" s="39">
        <f t="shared" si="42"/>
        <v>0.442290625830091</v>
      </c>
      <c r="AA101" s="10">
        <f t="shared" si="39"/>
        <v>154.368</v>
      </c>
      <c r="AB101" s="10">
        <f t="shared" si="46"/>
        <v>1.1906562564537098</v>
      </c>
      <c r="AC101" s="59">
        <f t="shared" si="32"/>
        <v>8.339484863987639E-07</v>
      </c>
      <c r="AD101" s="39">
        <f t="shared" si="35"/>
        <v>8.702055061255706E-06</v>
      </c>
      <c r="AE101" s="39">
        <f t="shared" si="43"/>
        <v>9.080388480124507E-05</v>
      </c>
      <c r="AF101" s="59">
        <f t="shared" si="24"/>
        <v>0.000947517044762066</v>
      </c>
      <c r="AG101" s="59">
        <f t="shared" si="28"/>
        <v>0.009887116086274853</v>
      </c>
      <c r="AH101" s="39">
        <f t="shared" si="36"/>
        <v>0.10316971609521032</v>
      </c>
      <c r="AI101" s="39">
        <f t="shared" si="44"/>
        <v>1.0765515673391137</v>
      </c>
      <c r="AP101" s="39"/>
      <c r="AQ101" s="39"/>
    </row>
    <row r="102" spans="3:43" ht="12.75">
      <c r="C102" s="10"/>
      <c r="D102" s="39"/>
      <c r="K102" s="10">
        <f t="shared" si="37"/>
        <v>79.712</v>
      </c>
      <c r="L102" s="10">
        <f t="shared" si="45"/>
        <v>0.4966764890438432</v>
      </c>
      <c r="M102" s="59">
        <f t="shared" si="30"/>
        <v>0.00019962698100791003</v>
      </c>
      <c r="N102" s="39">
        <f t="shared" si="33"/>
        <v>0.0006945080664498639</v>
      </c>
      <c r="O102" s="39">
        <f t="shared" si="41"/>
        <v>0.0024162137398892796</v>
      </c>
      <c r="P102" s="59">
        <f t="shared" si="23"/>
        <v>0.008406077796435778</v>
      </c>
      <c r="Q102" s="59">
        <f t="shared" si="27"/>
        <v>0.02924498886550019</v>
      </c>
      <c r="R102" s="39">
        <f t="shared" si="34"/>
        <v>0.10174416588267461</v>
      </c>
      <c r="S102" s="39">
        <f t="shared" si="42"/>
        <v>0.3539709077118856</v>
      </c>
      <c r="T102" s="10"/>
      <c r="U102" s="10"/>
      <c r="V102" s="10"/>
      <c r="W102" s="10"/>
      <c r="X102" s="10"/>
      <c r="Y102" s="10"/>
      <c r="AA102" s="10">
        <f t="shared" si="39"/>
        <v>158.912</v>
      </c>
      <c r="AB102" s="10">
        <f t="shared" si="46"/>
        <v>0.7637543421911851</v>
      </c>
      <c r="AC102" s="59">
        <f t="shared" si="32"/>
        <v>5.349417803813659E-07</v>
      </c>
      <c r="AD102" s="39">
        <f t="shared" si="35"/>
        <v>5.581990858388472E-06</v>
      </c>
      <c r="AE102" s="39">
        <f t="shared" si="43"/>
        <v>5.824675335869101E-05</v>
      </c>
      <c r="AF102" s="59">
        <f t="shared" si="24"/>
        <v>0.0006077910843816135</v>
      </c>
      <c r="AG102" s="59">
        <f t="shared" si="28"/>
        <v>0.006342156102313608</v>
      </c>
      <c r="AH102" s="39">
        <f t="shared" si="36"/>
        <v>0.06617889774911362</v>
      </c>
      <c r="AI102" s="39">
        <f t="shared" si="44"/>
        <v>0.6905611335693788</v>
      </c>
      <c r="AJ102" s="10"/>
      <c r="AK102" s="10"/>
      <c r="AL102" s="10"/>
      <c r="AM102" s="10"/>
      <c r="AN102" s="10"/>
      <c r="AP102" s="39"/>
      <c r="AQ102" s="39"/>
    </row>
    <row r="103" spans="3:43" ht="12.75">
      <c r="C103" s="10"/>
      <c r="D103" s="39"/>
      <c r="K103" s="10">
        <f t="shared" si="37"/>
        <v>81.856</v>
      </c>
      <c r="L103" s="10">
        <f t="shared" si="45"/>
        <v>0.3974963065753284</v>
      </c>
      <c r="M103" s="59">
        <f t="shared" si="30"/>
        <v>0.00015976392922913588</v>
      </c>
      <c r="N103" s="39">
        <f t="shared" si="33"/>
        <v>0.0005558233512180579</v>
      </c>
      <c r="O103" s="39">
        <f t="shared" si="41"/>
        <v>0.0019337255865570634</v>
      </c>
      <c r="P103" s="59">
        <f t="shared" si="23"/>
        <v>0.00672748749384313</v>
      </c>
      <c r="Q103" s="59">
        <f t="shared" si="27"/>
        <v>0.02340512443670878</v>
      </c>
      <c r="R103" s="39">
        <f t="shared" si="34"/>
        <v>0.08142710787632955</v>
      </c>
      <c r="S103" s="39">
        <f t="shared" si="42"/>
        <v>0.2832872739014427</v>
      </c>
      <c r="T103" s="10"/>
      <c r="U103" s="10"/>
      <c r="V103" s="10"/>
      <c r="W103" s="10"/>
      <c r="X103" s="10"/>
      <c r="Y103" s="10"/>
      <c r="AA103" s="10">
        <f t="shared" si="39"/>
        <v>163.45600000000002</v>
      </c>
      <c r="AB103" s="10">
        <f t="shared" si="46"/>
        <v>0.4899152816381409</v>
      </c>
      <c r="AC103" s="59">
        <f t="shared" si="32"/>
        <v>3.4314194829145944E-07</v>
      </c>
      <c r="AD103" s="39">
        <f t="shared" si="35"/>
        <v>3.5806050092535597E-06</v>
      </c>
      <c r="AE103" s="39">
        <f t="shared" si="43"/>
        <v>3.736276574789969E-05</v>
      </c>
      <c r="AF103" s="59">
        <f t="shared" si="24"/>
        <v>0.00038987161687053547</v>
      </c>
      <c r="AG103" s="59">
        <f t="shared" si="28"/>
        <v>0.004068218040036021</v>
      </c>
      <c r="AH103" s="39">
        <f t="shared" si="36"/>
        <v>0.04245089230686527</v>
      </c>
      <c r="AI103" s="39">
        <f t="shared" si="44"/>
        <v>0.44296501316166365</v>
      </c>
      <c r="AJ103" s="10"/>
      <c r="AK103" s="10"/>
      <c r="AL103" s="10"/>
      <c r="AM103" s="10"/>
      <c r="AN103" s="10"/>
      <c r="AP103" s="39"/>
      <c r="AQ103" s="39"/>
    </row>
    <row r="104" spans="3:43" ht="12.75">
      <c r="C104" s="10"/>
      <c r="D104" s="39"/>
      <c r="J104" s="7" t="s">
        <v>96</v>
      </c>
      <c r="K104" s="48">
        <f t="shared" si="37"/>
        <v>84</v>
      </c>
      <c r="L104" s="48">
        <f t="shared" si="45"/>
        <v>0.3181211851855585</v>
      </c>
      <c r="M104" s="59">
        <f t="shared" si="30"/>
        <v>0.0001278610383920045</v>
      </c>
      <c r="N104" s="52">
        <f t="shared" si="33"/>
        <v>0.000444832267159238</v>
      </c>
      <c r="O104" s="52">
        <f t="shared" si="41"/>
        <v>0.001547584380625535</v>
      </c>
      <c r="P104" s="53">
        <f aca="true" t="shared" si="47" ref="P104:P135">O96</f>
        <v>0.005384091020309836</v>
      </c>
      <c r="Q104" s="53">
        <f t="shared" si="27"/>
        <v>0.0187314090771993</v>
      </c>
      <c r="R104" s="52">
        <f t="shared" si="34"/>
        <v>0.06516711636074708</v>
      </c>
      <c r="S104" s="52">
        <f t="shared" si="42"/>
        <v>0.22671829104112548</v>
      </c>
      <c r="T104" s="52">
        <f aca="true" t="shared" si="48" ref="T104:T144">S96</f>
        <v>0</v>
      </c>
      <c r="U104" s="10"/>
      <c r="V104" s="10"/>
      <c r="W104" s="10"/>
      <c r="X104" s="10"/>
      <c r="Y104" s="10"/>
      <c r="Z104" s="7" t="s">
        <v>96</v>
      </c>
      <c r="AA104" s="95">
        <f t="shared" si="39"/>
        <v>168</v>
      </c>
      <c r="AB104" s="48">
        <f t="shared" si="46"/>
        <v>0.3142594024329583</v>
      </c>
      <c r="AC104" s="59">
        <f t="shared" si="32"/>
        <v>2.2011067558289447E-07</v>
      </c>
      <c r="AD104" s="52">
        <f t="shared" si="35"/>
        <v>2.296802799851426E-06</v>
      </c>
      <c r="AE104" s="52">
        <f t="shared" si="43"/>
        <v>2.3966593566783412E-05</v>
      </c>
      <c r="AF104" s="53">
        <f aca="true" t="shared" si="49" ref="AF104:AF135">AE96</f>
        <v>0.0002500857310137989</v>
      </c>
      <c r="AG104" s="53">
        <f t="shared" si="28"/>
        <v>0.002609585408223708</v>
      </c>
      <c r="AH104" s="52">
        <f t="shared" si="36"/>
        <v>0.027230406049989102</v>
      </c>
      <c r="AI104" s="52">
        <f t="shared" si="44"/>
        <v>0.28414284173668947</v>
      </c>
      <c r="AJ104" s="52">
        <f aca="true" t="shared" si="50" ref="AJ104:AJ144">AI96</f>
        <v>0</v>
      </c>
      <c r="AK104" s="10"/>
      <c r="AL104" s="10"/>
      <c r="AM104" s="10"/>
      <c r="AN104" s="10"/>
      <c r="AP104" s="39"/>
      <c r="AQ104" s="39"/>
    </row>
    <row r="105" spans="3:43" ht="12.75">
      <c r="C105" s="10"/>
      <c r="D105" s="39"/>
      <c r="I105" s="59"/>
      <c r="J105">
        <v>8</v>
      </c>
      <c r="K105" s="10">
        <f t="shared" si="37"/>
        <v>84.42666666666666</v>
      </c>
      <c r="L105" s="10">
        <f aca="true" t="shared" si="51" ref="L105:L112">SUM(M105:T105)</f>
        <v>0.8018517032796483</v>
      </c>
      <c r="M105" s="59">
        <f t="shared" si="30"/>
        <v>0.00012231687729295136</v>
      </c>
      <c r="N105" s="39">
        <f t="shared" si="33"/>
        <v>0.0004255439696277671</v>
      </c>
      <c r="O105" s="39">
        <f t="shared" si="41"/>
        <v>0.0014804798331537635</v>
      </c>
      <c r="P105" s="59">
        <f t="shared" si="47"/>
        <v>0.0051506323501475755</v>
      </c>
      <c r="Q105" s="59">
        <f t="shared" si="27"/>
        <v>0.01791919958130996</v>
      </c>
      <c r="R105" s="39">
        <f t="shared" si="34"/>
        <v>0.062341415928399306</v>
      </c>
      <c r="S105" s="39">
        <f t="shared" si="42"/>
        <v>0.2168875971453114</v>
      </c>
      <c r="T105" s="39">
        <f t="shared" si="48"/>
        <v>0.4975245175944056</v>
      </c>
      <c r="U105" s="10"/>
      <c r="V105" s="10"/>
      <c r="W105" s="10"/>
      <c r="X105" s="10"/>
      <c r="Y105" s="10"/>
      <c r="Z105">
        <v>8</v>
      </c>
      <c r="AA105" s="10">
        <f t="shared" si="39"/>
        <v>168.42666666666668</v>
      </c>
      <c r="AB105" s="10">
        <f aca="true" t="shared" si="52" ref="AB105:AB112">SUM(AC105:AJ105)</f>
        <v>2.2031874055333014</v>
      </c>
      <c r="AC105" s="59">
        <f t="shared" si="32"/>
        <v>2.1112261155355604E-07</v>
      </c>
      <c r="AD105" s="39">
        <f t="shared" si="35"/>
        <v>2.2030144791661176E-06</v>
      </c>
      <c r="AE105" s="39">
        <f t="shared" si="43"/>
        <v>2.2987934639982533E-05</v>
      </c>
      <c r="AF105" s="59">
        <f t="shared" si="49"/>
        <v>0.00023987365675968433</v>
      </c>
      <c r="AG105" s="59">
        <f t="shared" si="28"/>
        <v>0.0025030248305641855</v>
      </c>
      <c r="AH105" s="39">
        <f t="shared" si="36"/>
        <v>0.026118471644835693</v>
      </c>
      <c r="AI105" s="39">
        <f t="shared" si="44"/>
        <v>0.2725400694120655</v>
      </c>
      <c r="AJ105" s="39">
        <f t="shared" si="50"/>
        <v>1.9017605639173456</v>
      </c>
      <c r="AK105" s="10"/>
      <c r="AL105" s="10"/>
      <c r="AM105" s="10"/>
      <c r="AN105" s="10"/>
      <c r="AO105" s="6"/>
      <c r="AP105" s="59"/>
      <c r="AQ105" s="39"/>
    </row>
    <row r="106" spans="3:43" ht="12.75">
      <c r="C106" s="10"/>
      <c r="D106" s="39"/>
      <c r="K106" s="10">
        <f t="shared" si="37"/>
        <v>84.85333333333332</v>
      </c>
      <c r="L106" s="10">
        <f t="shared" si="51"/>
        <v>0.9292114820426814</v>
      </c>
      <c r="M106" s="59">
        <f t="shared" si="30"/>
        <v>0.0001170131156359708</v>
      </c>
      <c r="N106" s="39">
        <f t="shared" si="33"/>
        <v>0.00040709202873930305</v>
      </c>
      <c r="O106" s="39">
        <f t="shared" si="41"/>
        <v>0.001416284994740679</v>
      </c>
      <c r="P106" s="59">
        <f t="shared" si="47"/>
        <v>0.004927296642332784</v>
      </c>
      <c r="Q106" s="59">
        <f t="shared" si="27"/>
        <v>0.017142208165517727</v>
      </c>
      <c r="R106" s="39">
        <f t="shared" si="34"/>
        <v>0.05963824021985808</v>
      </c>
      <c r="S106" s="39">
        <f t="shared" si="42"/>
        <v>0.2074831703231769</v>
      </c>
      <c r="T106" s="39">
        <f t="shared" si="48"/>
        <v>0.63808017655268</v>
      </c>
      <c r="U106" s="10"/>
      <c r="V106" s="10"/>
      <c r="W106" s="10"/>
      <c r="X106" s="10"/>
      <c r="Y106" s="10"/>
      <c r="AA106" s="10">
        <f t="shared" si="39"/>
        <v>168.85333333333332</v>
      </c>
      <c r="AB106" s="10">
        <f t="shared" si="52"/>
        <v>2.717514857786371</v>
      </c>
      <c r="AC106" s="59">
        <f t="shared" si="32"/>
        <v>2.025015687728768E-07</v>
      </c>
      <c r="AD106" s="39">
        <f t="shared" si="35"/>
        <v>2.113055938337206E-06</v>
      </c>
      <c r="AE106" s="39">
        <f t="shared" si="43"/>
        <v>2.204923855948008E-05</v>
      </c>
      <c r="AF106" s="59">
        <f t="shared" si="49"/>
        <v>0.00023007858534755</v>
      </c>
      <c r="AG106" s="59">
        <f t="shared" si="28"/>
        <v>0.0024008155788568016</v>
      </c>
      <c r="AH106" s="39">
        <f t="shared" si="36"/>
        <v>0.02505194229604075</v>
      </c>
      <c r="AI106" s="39">
        <f t="shared" si="44"/>
        <v>0.2614110881032356</v>
      </c>
      <c r="AJ106" s="39">
        <f t="shared" si="50"/>
        <v>2.4283965684268236</v>
      </c>
      <c r="AK106" s="10"/>
      <c r="AL106" s="10"/>
      <c r="AM106" s="10"/>
      <c r="AN106" s="10"/>
      <c r="AP106" s="39"/>
      <c r="AQ106" s="39"/>
    </row>
    <row r="107" spans="3:43" ht="12.75">
      <c r="C107" s="10"/>
      <c r="D107" s="39"/>
      <c r="J107" s="7" t="s">
        <v>76</v>
      </c>
      <c r="K107" s="10">
        <f t="shared" si="37"/>
        <v>85.28</v>
      </c>
      <c r="L107" s="10">
        <f t="shared" si="51"/>
        <v>0.9417531271597184</v>
      </c>
      <c r="M107" s="59">
        <f t="shared" si="30"/>
        <v>0.00011193932950106525</v>
      </c>
      <c r="N107" s="39">
        <f t="shared" si="33"/>
        <v>0.00038944017937334144</v>
      </c>
      <c r="O107" s="39">
        <f t="shared" si="41"/>
        <v>0.001354873697978483</v>
      </c>
      <c r="P107" s="59">
        <f t="shared" si="47"/>
        <v>0.004713644956788321</v>
      </c>
      <c r="Q107" s="59">
        <f t="shared" si="27"/>
        <v>0.01639890774454228</v>
      </c>
      <c r="R107" s="39">
        <f t="shared" si="34"/>
        <v>0.0570522764610685</v>
      </c>
      <c r="S107" s="39">
        <f t="shared" si="42"/>
        <v>0.19848652727944444</v>
      </c>
      <c r="T107" s="39">
        <f t="shared" si="48"/>
        <v>0.663245517511022</v>
      </c>
      <c r="U107" s="10"/>
      <c r="V107" s="10"/>
      <c r="W107" s="10"/>
      <c r="X107" s="10"/>
      <c r="Y107" s="10"/>
      <c r="Z107" s="7" t="s">
        <v>76</v>
      </c>
      <c r="AA107" s="10">
        <f t="shared" si="39"/>
        <v>169.28</v>
      </c>
      <c r="AB107" s="10">
        <f t="shared" si="52"/>
        <v>2.7985639191766314</v>
      </c>
      <c r="AC107" s="59">
        <f t="shared" si="32"/>
        <v>1.9423256018729982E-07</v>
      </c>
      <c r="AD107" s="39">
        <f t="shared" si="35"/>
        <v>2.026770791008235E-06</v>
      </c>
      <c r="AE107" s="39">
        <f t="shared" si="43"/>
        <v>2.1148873470663072E-05</v>
      </c>
      <c r="AF107" s="59">
        <f t="shared" si="49"/>
        <v>0.00022068348876076683</v>
      </c>
      <c r="AG107" s="59">
        <f t="shared" si="28"/>
        <v>0.0023027799697785314</v>
      </c>
      <c r="AH107" s="39">
        <f t="shared" si="36"/>
        <v>0.02402896392018589</v>
      </c>
      <c r="AI107" s="39">
        <f t="shared" si="44"/>
        <v>0.2507365508885877</v>
      </c>
      <c r="AJ107" s="39">
        <f t="shared" si="50"/>
        <v>2.5212515710324968</v>
      </c>
      <c r="AK107" s="10"/>
      <c r="AL107" s="10"/>
      <c r="AM107" s="10"/>
      <c r="AN107" s="10"/>
      <c r="AP107" s="39"/>
      <c r="AQ107" s="39"/>
    </row>
    <row r="108" spans="3:43" ht="12.75">
      <c r="C108" s="10"/>
      <c r="D108" s="39"/>
      <c r="I108" s="59"/>
      <c r="K108" s="10">
        <f t="shared" si="37"/>
        <v>87.424</v>
      </c>
      <c r="L108" s="10">
        <f t="shared" si="51"/>
        <v>0.7754435124582449</v>
      </c>
      <c r="M108" s="59">
        <f t="shared" si="30"/>
        <v>8.958642276745386E-05</v>
      </c>
      <c r="N108" s="39">
        <f t="shared" si="33"/>
        <v>0.00031167376745490675</v>
      </c>
      <c r="O108" s="39">
        <f t="shared" si="41"/>
        <v>0.0010843220916599192</v>
      </c>
      <c r="P108" s="59">
        <f t="shared" si="47"/>
        <v>0.003772388058394585</v>
      </c>
      <c r="Q108" s="59">
        <f t="shared" si="27"/>
        <v>0.013124247649822278</v>
      </c>
      <c r="R108" s="39">
        <f t="shared" si="34"/>
        <v>0.045659638856763926</v>
      </c>
      <c r="S108" s="39">
        <f t="shared" si="42"/>
        <v>0.1588512100774277</v>
      </c>
      <c r="T108" s="39">
        <f t="shared" si="48"/>
        <v>0.5525504455339542</v>
      </c>
      <c r="U108" s="10"/>
      <c r="V108" s="10"/>
      <c r="W108" s="10"/>
      <c r="X108" s="10"/>
      <c r="Y108" s="10"/>
      <c r="AA108" s="10">
        <f t="shared" si="39"/>
        <v>173.824</v>
      </c>
      <c r="AB108" s="10">
        <f t="shared" si="52"/>
        <v>1.8561754428534298</v>
      </c>
      <c r="AC108" s="59">
        <f t="shared" si="32"/>
        <v>1.2459176226017167E-07</v>
      </c>
      <c r="AD108" s="39">
        <f t="shared" si="35"/>
        <v>1.3000855485076897E-06</v>
      </c>
      <c r="AE108" s="39">
        <f t="shared" si="43"/>
        <v>1.3566084970441562E-05</v>
      </c>
      <c r="AF108" s="59">
        <f t="shared" si="49"/>
        <v>0.00014155888559525174</v>
      </c>
      <c r="AG108" s="59">
        <f t="shared" si="28"/>
        <v>0.001477133464417428</v>
      </c>
      <c r="AH108" s="39">
        <f t="shared" si="36"/>
        <v>0.015413538065992115</v>
      </c>
      <c r="AI108" s="39">
        <f t="shared" si="44"/>
        <v>0.16083662135803473</v>
      </c>
      <c r="AJ108" s="39">
        <f t="shared" si="50"/>
        <v>1.6782916003171091</v>
      </c>
      <c r="AK108" s="10"/>
      <c r="AL108" s="10"/>
      <c r="AM108" s="10"/>
      <c r="AN108" s="10"/>
      <c r="AO108" s="6"/>
      <c r="AP108" s="59"/>
      <c r="AQ108" s="39"/>
    </row>
    <row r="109" spans="3:43" ht="12.75">
      <c r="C109" s="10"/>
      <c r="D109" s="39"/>
      <c r="K109" s="10">
        <f t="shared" si="37"/>
        <v>89.568</v>
      </c>
      <c r="L109" s="10">
        <f t="shared" si="51"/>
        <v>0.6206746898977953</v>
      </c>
      <c r="M109" s="59">
        <f t="shared" si="30"/>
        <v>7.169711646515267E-05</v>
      </c>
      <c r="N109" s="39">
        <f t="shared" si="33"/>
        <v>0.00024943635111263274</v>
      </c>
      <c r="O109" s="39">
        <f t="shared" si="41"/>
        <v>0.0008677963120961062</v>
      </c>
      <c r="P109" s="59">
        <f t="shared" si="47"/>
        <v>0.0030190885808282037</v>
      </c>
      <c r="Q109" s="59">
        <f t="shared" si="27"/>
        <v>0.01050349688266225</v>
      </c>
      <c r="R109" s="39">
        <f t="shared" si="34"/>
        <v>0.03654197080028415</v>
      </c>
      <c r="S109" s="39">
        <f t="shared" si="42"/>
        <v>0.12713057802425579</v>
      </c>
      <c r="T109" s="39">
        <f t="shared" si="48"/>
        <v>0.442290625830091</v>
      </c>
      <c r="U109" s="10"/>
      <c r="V109" s="10"/>
      <c r="W109" s="10"/>
      <c r="X109" s="10"/>
      <c r="Y109" s="10"/>
      <c r="AA109" s="10">
        <f t="shared" si="39"/>
        <v>178.368</v>
      </c>
      <c r="AB109" s="10">
        <f t="shared" si="52"/>
        <v>1.190656336373921</v>
      </c>
      <c r="AC109" s="59">
        <f t="shared" si="32"/>
        <v>7.992021115371258E-08</v>
      </c>
      <c r="AD109" s="39">
        <f t="shared" si="35"/>
        <v>8.339484863987639E-07</v>
      </c>
      <c r="AE109" s="39">
        <f t="shared" si="43"/>
        <v>8.702055061255706E-06</v>
      </c>
      <c r="AF109" s="59">
        <f t="shared" si="49"/>
        <v>9.080388480124507E-05</v>
      </c>
      <c r="AG109" s="59">
        <f t="shared" si="28"/>
        <v>0.000947517044762066</v>
      </c>
      <c r="AH109" s="39">
        <f t="shared" si="36"/>
        <v>0.009887116086274853</v>
      </c>
      <c r="AI109" s="39">
        <f t="shared" si="44"/>
        <v>0.10316971609521032</v>
      </c>
      <c r="AJ109" s="39">
        <f t="shared" si="50"/>
        <v>1.0765515673391137</v>
      </c>
      <c r="AK109" s="10"/>
      <c r="AL109" s="10"/>
      <c r="AM109" s="10"/>
      <c r="AN109" s="10"/>
      <c r="AP109" s="39"/>
      <c r="AQ109" s="39"/>
    </row>
    <row r="110" spans="3:43" ht="12.75">
      <c r="C110" s="10"/>
      <c r="D110" s="39"/>
      <c r="K110" s="10">
        <f t="shared" si="37"/>
        <v>91.712</v>
      </c>
      <c r="L110" s="10">
        <f t="shared" si="51"/>
        <v>0.49673386912835404</v>
      </c>
      <c r="M110" s="59">
        <f t="shared" si="30"/>
        <v>5.738008451081001E-05</v>
      </c>
      <c r="N110" s="39">
        <f t="shared" si="33"/>
        <v>0.00019962698100791003</v>
      </c>
      <c r="O110" s="39">
        <f t="shared" si="41"/>
        <v>0.0006945080664498639</v>
      </c>
      <c r="P110" s="59">
        <f t="shared" si="47"/>
        <v>0.0024162137398892796</v>
      </c>
      <c r="Q110" s="59">
        <f t="shared" si="27"/>
        <v>0.008406077796435778</v>
      </c>
      <c r="R110" s="39">
        <f t="shared" si="34"/>
        <v>0.02924498886550019</v>
      </c>
      <c r="S110" s="39">
        <f t="shared" si="42"/>
        <v>0.10174416588267461</v>
      </c>
      <c r="T110" s="39">
        <f t="shared" si="48"/>
        <v>0.3539709077118856</v>
      </c>
      <c r="U110" s="10"/>
      <c r="V110" s="10"/>
      <c r="W110" s="10"/>
      <c r="X110" s="10"/>
      <c r="Y110" s="10"/>
      <c r="AA110" s="10">
        <f t="shared" si="39"/>
        <v>182.912</v>
      </c>
      <c r="AB110" s="10">
        <f t="shared" si="52"/>
        <v>0.7637543934565338</v>
      </c>
      <c r="AC110" s="59">
        <f t="shared" si="32"/>
        <v>5.126534880786271E-08</v>
      </c>
      <c r="AD110" s="39">
        <f t="shared" si="35"/>
        <v>5.349417803813659E-07</v>
      </c>
      <c r="AE110" s="39">
        <f t="shared" si="43"/>
        <v>5.581990858388472E-06</v>
      </c>
      <c r="AF110" s="59">
        <f t="shared" si="49"/>
        <v>5.824675335869101E-05</v>
      </c>
      <c r="AG110" s="59">
        <f t="shared" si="28"/>
        <v>0.0006077910843816135</v>
      </c>
      <c r="AH110" s="39">
        <f t="shared" si="36"/>
        <v>0.006342156102313608</v>
      </c>
      <c r="AI110" s="39">
        <f t="shared" si="44"/>
        <v>0.06617889774911362</v>
      </c>
      <c r="AJ110" s="39">
        <f t="shared" si="50"/>
        <v>0.6905611335693788</v>
      </c>
      <c r="AK110" s="10"/>
      <c r="AL110" s="10"/>
      <c r="AM110" s="10"/>
      <c r="AN110" s="10"/>
      <c r="AP110" s="39"/>
      <c r="AQ110" s="39"/>
    </row>
    <row r="111" spans="3:43" ht="12.75">
      <c r="C111" s="10"/>
      <c r="D111" s="39"/>
      <c r="K111" s="10">
        <f t="shared" si="37"/>
        <v>93.856</v>
      </c>
      <c r="L111" s="10">
        <f t="shared" si="51"/>
        <v>0.3975422285630009</v>
      </c>
      <c r="M111" s="59">
        <f t="shared" si="30"/>
        <v>4.592198767251637E-05</v>
      </c>
      <c r="N111" s="39">
        <f t="shared" si="33"/>
        <v>0.00015976392922913588</v>
      </c>
      <c r="O111" s="39">
        <f t="shared" si="41"/>
        <v>0.0005558233512180579</v>
      </c>
      <c r="P111" s="59">
        <f t="shared" si="47"/>
        <v>0.0019337255865570634</v>
      </c>
      <c r="Q111" s="59">
        <f t="shared" si="27"/>
        <v>0.00672748749384313</v>
      </c>
      <c r="R111" s="39">
        <f t="shared" si="34"/>
        <v>0.02340512443670878</v>
      </c>
      <c r="S111" s="39">
        <f t="shared" si="42"/>
        <v>0.08142710787632955</v>
      </c>
      <c r="T111" s="39">
        <f t="shared" si="48"/>
        <v>0.2832872739014427</v>
      </c>
      <c r="U111" s="10"/>
      <c r="V111" s="10"/>
      <c r="W111" s="10"/>
      <c r="X111" s="10"/>
      <c r="Y111" s="10"/>
      <c r="AA111" s="10">
        <f t="shared" si="39"/>
        <v>187.45600000000002</v>
      </c>
      <c r="AB111" s="10">
        <f t="shared" si="52"/>
        <v>0.4899153145226385</v>
      </c>
      <c r="AC111" s="59">
        <f t="shared" si="32"/>
        <v>3.2884497556407355E-08</v>
      </c>
      <c r="AD111" s="39">
        <f t="shared" si="35"/>
        <v>3.4314194829145944E-07</v>
      </c>
      <c r="AE111" s="39">
        <f t="shared" si="43"/>
        <v>3.5806050092535597E-06</v>
      </c>
      <c r="AF111" s="59">
        <f t="shared" si="49"/>
        <v>3.736276574789969E-05</v>
      </c>
      <c r="AG111" s="59">
        <f t="shared" si="28"/>
        <v>0.00038987161687053547</v>
      </c>
      <c r="AH111" s="39">
        <f t="shared" si="36"/>
        <v>0.004068218040036021</v>
      </c>
      <c r="AI111" s="39">
        <f t="shared" si="44"/>
        <v>0.04245089230686527</v>
      </c>
      <c r="AJ111" s="39">
        <f t="shared" si="50"/>
        <v>0.44296501316166365</v>
      </c>
      <c r="AK111" s="10"/>
      <c r="AL111" s="10"/>
      <c r="AM111" s="10"/>
      <c r="AN111" s="10"/>
      <c r="AP111" s="39"/>
      <c r="AQ111" s="39"/>
    </row>
    <row r="112" spans="3:43" ht="12.75">
      <c r="C112" s="10"/>
      <c r="D112" s="39"/>
      <c r="J112" s="7" t="s">
        <v>96</v>
      </c>
      <c r="K112" s="48">
        <f t="shared" si="37"/>
        <v>96</v>
      </c>
      <c r="L112" s="48">
        <f t="shared" si="51"/>
        <v>0.3181579371173441</v>
      </c>
      <c r="M112" s="59">
        <f t="shared" si="30"/>
        <v>3.675193178562587E-05</v>
      </c>
      <c r="N112" s="52">
        <f t="shared" si="33"/>
        <v>0.0001278610383920045</v>
      </c>
      <c r="O112" s="52">
        <f t="shared" si="41"/>
        <v>0.000444832267159238</v>
      </c>
      <c r="P112" s="53">
        <f t="shared" si="47"/>
        <v>0.001547584380625535</v>
      </c>
      <c r="Q112" s="53">
        <f aca="true" t="shared" si="53" ref="Q112:Q143">P104</f>
        <v>0.005384091020309836</v>
      </c>
      <c r="R112" s="52">
        <f t="shared" si="34"/>
        <v>0.0187314090771993</v>
      </c>
      <c r="S112" s="52">
        <f t="shared" si="42"/>
        <v>0.06516711636074708</v>
      </c>
      <c r="T112" s="52">
        <f t="shared" si="48"/>
        <v>0.22671829104112548</v>
      </c>
      <c r="U112" s="52">
        <f aca="true" t="shared" si="54" ref="U112:U144">T104</f>
        <v>0</v>
      </c>
      <c r="V112" s="10"/>
      <c r="W112" s="10"/>
      <c r="X112" s="10"/>
      <c r="Y112" s="10"/>
      <c r="Z112" s="7" t="s">
        <v>96</v>
      </c>
      <c r="AA112" s="95">
        <f t="shared" si="39"/>
        <v>192</v>
      </c>
      <c r="AB112" s="48">
        <f t="shared" si="52"/>
        <v>0.3142594235269371</v>
      </c>
      <c r="AC112" s="59">
        <f t="shared" si="32"/>
        <v>2.1093978772880387E-08</v>
      </c>
      <c r="AD112" s="52">
        <f t="shared" si="35"/>
        <v>2.2011067558289447E-07</v>
      </c>
      <c r="AE112" s="52">
        <f t="shared" si="43"/>
        <v>2.296802799851426E-06</v>
      </c>
      <c r="AF112" s="53">
        <f t="shared" si="49"/>
        <v>2.3966593566783412E-05</v>
      </c>
      <c r="AG112" s="53">
        <f aca="true" t="shared" si="55" ref="AG112:AG143">AF104</f>
        <v>0.0002500857310137989</v>
      </c>
      <c r="AH112" s="52">
        <f t="shared" si="36"/>
        <v>0.002609585408223708</v>
      </c>
      <c r="AI112" s="52">
        <f t="shared" si="44"/>
        <v>0.027230406049989102</v>
      </c>
      <c r="AJ112" s="52">
        <f t="shared" si="50"/>
        <v>0.28414284173668947</v>
      </c>
      <c r="AK112" s="52">
        <f aca="true" t="shared" si="56" ref="AK112:AK144">AJ104</f>
        <v>0</v>
      </c>
      <c r="AL112" s="10"/>
      <c r="AM112" s="10"/>
      <c r="AN112" s="10"/>
      <c r="AP112" s="39"/>
      <c r="AQ112" s="39"/>
    </row>
    <row r="113" spans="3:43" ht="12.75">
      <c r="C113" s="10"/>
      <c r="D113" s="39"/>
      <c r="J113">
        <v>9</v>
      </c>
      <c r="K113" s="10">
        <f t="shared" si="37"/>
        <v>96.42666666666666</v>
      </c>
      <c r="L113" s="10">
        <f aca="true" t="shared" si="57" ref="L113:L120">SUM(M113:U113)</f>
        <v>0.8018868616170671</v>
      </c>
      <c r="M113" s="59">
        <f aca="true" t="shared" si="58" ref="M113:M144">C$15*(EXP(-C$13*K113)-EXP(-C$14*K113))</f>
        <v>3.5158337418777195E-05</v>
      </c>
      <c r="N113" s="39">
        <f t="shared" si="33"/>
        <v>0.00012231687729295136</v>
      </c>
      <c r="O113" s="39">
        <f t="shared" si="41"/>
        <v>0.0004255439696277671</v>
      </c>
      <c r="P113" s="59">
        <f t="shared" si="47"/>
        <v>0.0014804798331537635</v>
      </c>
      <c r="Q113" s="59">
        <f t="shared" si="53"/>
        <v>0.0051506323501475755</v>
      </c>
      <c r="R113" s="39">
        <f t="shared" si="34"/>
        <v>0.01791919958130996</v>
      </c>
      <c r="S113" s="39">
        <f t="shared" si="42"/>
        <v>0.062341415928399306</v>
      </c>
      <c r="T113" s="39">
        <f t="shared" si="48"/>
        <v>0.2168875971453114</v>
      </c>
      <c r="U113" s="39">
        <f t="shared" si="54"/>
        <v>0.4975245175944056</v>
      </c>
      <c r="Z113">
        <v>9</v>
      </c>
      <c r="AA113" s="10">
        <f t="shared" si="39"/>
        <v>192.42666666666668</v>
      </c>
      <c r="AB113" s="10">
        <f aca="true" t="shared" si="59" ref="AB113:AB120">SUM(AC113:AK113)</f>
        <v>2.2031874257659223</v>
      </c>
      <c r="AC113" s="59">
        <f aca="true" t="shared" si="60" ref="AC113:AC144">D$15*(EXP(-D$13*AA113)-EXP(-D$14*AA113))</f>
        <v>2.0232621042992578E-08</v>
      </c>
      <c r="AD113" s="39">
        <f t="shared" si="35"/>
        <v>2.1112261155355604E-07</v>
      </c>
      <c r="AE113" s="39">
        <f t="shared" si="43"/>
        <v>2.2030144791661176E-06</v>
      </c>
      <c r="AF113" s="59">
        <f t="shared" si="49"/>
        <v>2.2987934639982533E-05</v>
      </c>
      <c r="AG113" s="59">
        <f t="shared" si="55"/>
        <v>0.00023987365675968433</v>
      </c>
      <c r="AH113" s="39">
        <f t="shared" si="36"/>
        <v>0.0025030248305641855</v>
      </c>
      <c r="AI113" s="39">
        <f t="shared" si="44"/>
        <v>0.026118471644835693</v>
      </c>
      <c r="AJ113" s="39">
        <f t="shared" si="50"/>
        <v>0.2725400694120655</v>
      </c>
      <c r="AK113" s="39">
        <f t="shared" si="56"/>
        <v>1.9017605639173456</v>
      </c>
      <c r="AP113" s="39"/>
      <c r="AQ113" s="39"/>
    </row>
    <row r="114" spans="3:43" ht="12.75">
      <c r="C114" s="10"/>
      <c r="D114" s="39"/>
      <c r="K114" s="10">
        <f t="shared" si="37"/>
        <v>96.85333333333332</v>
      </c>
      <c r="L114" s="10">
        <f t="shared" si="57"/>
        <v>0.9292451158853121</v>
      </c>
      <c r="M114" s="59">
        <f t="shared" si="58"/>
        <v>3.3633842630717054E-05</v>
      </c>
      <c r="N114" s="39">
        <f t="shared" si="33"/>
        <v>0.0001170131156359708</v>
      </c>
      <c r="O114" s="39">
        <f t="shared" si="41"/>
        <v>0.00040709202873930305</v>
      </c>
      <c r="P114" s="59">
        <f t="shared" si="47"/>
        <v>0.001416284994740679</v>
      </c>
      <c r="Q114" s="59">
        <f t="shared" si="53"/>
        <v>0.004927296642332784</v>
      </c>
      <c r="R114" s="39">
        <f t="shared" si="34"/>
        <v>0.017142208165517727</v>
      </c>
      <c r="S114" s="39">
        <f t="shared" si="42"/>
        <v>0.05963824021985808</v>
      </c>
      <c r="T114" s="39">
        <f t="shared" si="48"/>
        <v>0.2074831703231769</v>
      </c>
      <c r="U114" s="39">
        <f t="shared" si="54"/>
        <v>0.63808017655268</v>
      </c>
      <c r="AA114" s="10">
        <f t="shared" si="39"/>
        <v>192.85333333333332</v>
      </c>
      <c r="AB114" s="10">
        <f t="shared" si="59"/>
        <v>2.7175148771928073</v>
      </c>
      <c r="AC114" s="59">
        <f t="shared" si="60"/>
        <v>1.9406436247847298E-08</v>
      </c>
      <c r="AD114" s="39">
        <f t="shared" si="35"/>
        <v>2.025015687728768E-07</v>
      </c>
      <c r="AE114" s="39">
        <f t="shared" si="43"/>
        <v>2.113055938337206E-06</v>
      </c>
      <c r="AF114" s="59">
        <f t="shared" si="49"/>
        <v>2.204923855948008E-05</v>
      </c>
      <c r="AG114" s="59">
        <f t="shared" si="55"/>
        <v>0.00023007858534755</v>
      </c>
      <c r="AH114" s="39">
        <f t="shared" si="36"/>
        <v>0.0024008155788568016</v>
      </c>
      <c r="AI114" s="39">
        <f t="shared" si="44"/>
        <v>0.02505194229604075</v>
      </c>
      <c r="AJ114" s="39">
        <f t="shared" si="50"/>
        <v>0.2614110881032356</v>
      </c>
      <c r="AK114" s="39">
        <f t="shared" si="56"/>
        <v>2.4283965684268236</v>
      </c>
      <c r="AP114" s="39"/>
      <c r="AQ114" s="39"/>
    </row>
    <row r="115" spans="3:43" ht="12.75">
      <c r="C115" s="10"/>
      <c r="D115" s="39"/>
      <c r="J115" s="7" t="s">
        <v>76</v>
      </c>
      <c r="K115" s="10">
        <f t="shared" si="37"/>
        <v>97.28</v>
      </c>
      <c r="L115" s="10">
        <f t="shared" si="57"/>
        <v>0.9417853026109246</v>
      </c>
      <c r="M115" s="59">
        <f t="shared" si="58"/>
        <v>3.217545120616754E-05</v>
      </c>
      <c r="N115" s="39">
        <f t="shared" si="33"/>
        <v>0.00011193932950106525</v>
      </c>
      <c r="O115" s="39">
        <f t="shared" si="41"/>
        <v>0.00038944017937334144</v>
      </c>
      <c r="P115" s="59">
        <f t="shared" si="47"/>
        <v>0.001354873697978483</v>
      </c>
      <c r="Q115" s="59">
        <f t="shared" si="53"/>
        <v>0.004713644956788321</v>
      </c>
      <c r="R115" s="39">
        <f t="shared" si="34"/>
        <v>0.01639890774454228</v>
      </c>
      <c r="S115" s="39">
        <f t="shared" si="42"/>
        <v>0.0570522764610685</v>
      </c>
      <c r="T115" s="39">
        <f t="shared" si="48"/>
        <v>0.19848652727944444</v>
      </c>
      <c r="U115" s="39">
        <f t="shared" si="54"/>
        <v>0.663245517511022</v>
      </c>
      <c r="Z115" s="7" t="s">
        <v>76</v>
      </c>
      <c r="AA115" s="10">
        <f t="shared" si="39"/>
        <v>193.28</v>
      </c>
      <c r="AB115" s="10">
        <f t="shared" si="59"/>
        <v>2.7985639377906195</v>
      </c>
      <c r="AC115" s="59">
        <f t="shared" si="60"/>
        <v>1.861398812548789E-08</v>
      </c>
      <c r="AD115" s="39">
        <f t="shared" si="35"/>
        <v>1.9423256018729982E-07</v>
      </c>
      <c r="AE115" s="39">
        <f t="shared" si="43"/>
        <v>2.026770791008235E-06</v>
      </c>
      <c r="AF115" s="59">
        <f t="shared" si="49"/>
        <v>2.1148873470663072E-05</v>
      </c>
      <c r="AG115" s="59">
        <f t="shared" si="55"/>
        <v>0.00022068348876076683</v>
      </c>
      <c r="AH115" s="39">
        <f t="shared" si="36"/>
        <v>0.0023027799697785314</v>
      </c>
      <c r="AI115" s="39">
        <f t="shared" si="44"/>
        <v>0.02402896392018589</v>
      </c>
      <c r="AJ115" s="39">
        <f t="shared" si="50"/>
        <v>0.2507365508885877</v>
      </c>
      <c r="AK115" s="39">
        <f t="shared" si="56"/>
        <v>2.5212515710324968</v>
      </c>
      <c r="AO115" s="10"/>
      <c r="AP115" s="39"/>
      <c r="AQ115" s="39"/>
    </row>
    <row r="116" spans="3:43" ht="12.75">
      <c r="C116" s="10"/>
      <c r="D116" s="39"/>
      <c r="I116" s="59"/>
      <c r="K116" s="10">
        <f t="shared" si="37"/>
        <v>99.424</v>
      </c>
      <c r="L116" s="10">
        <f t="shared" si="57"/>
        <v>0.7754692628677511</v>
      </c>
      <c r="M116" s="59">
        <f t="shared" si="58"/>
        <v>2.5750409506087608E-05</v>
      </c>
      <c r="N116" s="39">
        <f t="shared" si="33"/>
        <v>8.958642276745386E-05</v>
      </c>
      <c r="O116" s="39">
        <f t="shared" si="41"/>
        <v>0.00031167376745490675</v>
      </c>
      <c r="P116" s="59">
        <f t="shared" si="47"/>
        <v>0.0010843220916599192</v>
      </c>
      <c r="Q116" s="59">
        <f t="shared" si="53"/>
        <v>0.003772388058394585</v>
      </c>
      <c r="R116" s="39">
        <f t="shared" si="34"/>
        <v>0.013124247649822278</v>
      </c>
      <c r="S116" s="39">
        <f t="shared" si="42"/>
        <v>0.045659638856763926</v>
      </c>
      <c r="T116" s="39">
        <f t="shared" si="48"/>
        <v>0.1588512100774277</v>
      </c>
      <c r="U116" s="39">
        <f t="shared" si="54"/>
        <v>0.5525504455339542</v>
      </c>
      <c r="AA116" s="10">
        <f t="shared" si="39"/>
        <v>197.824</v>
      </c>
      <c r="AB116" s="10">
        <f t="shared" si="59"/>
        <v>1.8561754547934959</v>
      </c>
      <c r="AC116" s="59">
        <f t="shared" si="60"/>
        <v>1.1940065975591698E-08</v>
      </c>
      <c r="AD116" s="39">
        <f t="shared" si="35"/>
        <v>1.2459176226017167E-07</v>
      </c>
      <c r="AE116" s="39">
        <f t="shared" si="43"/>
        <v>1.3000855485076897E-06</v>
      </c>
      <c r="AF116" s="59">
        <f t="shared" si="49"/>
        <v>1.3566084970441562E-05</v>
      </c>
      <c r="AG116" s="59">
        <f t="shared" si="55"/>
        <v>0.00014155888559525174</v>
      </c>
      <c r="AH116" s="39">
        <f t="shared" si="36"/>
        <v>0.001477133464417428</v>
      </c>
      <c r="AI116" s="39">
        <f t="shared" si="44"/>
        <v>0.015413538065992115</v>
      </c>
      <c r="AJ116" s="39">
        <f t="shared" si="50"/>
        <v>0.16083662135803473</v>
      </c>
      <c r="AK116" s="39">
        <f t="shared" si="56"/>
        <v>1.6782916003171091</v>
      </c>
      <c r="AO116" s="96"/>
      <c r="AP116" s="59"/>
      <c r="AQ116" s="39"/>
    </row>
    <row r="117" spans="3:43" ht="12.75">
      <c r="C117" s="10"/>
      <c r="D117" s="39"/>
      <c r="K117" s="10">
        <f t="shared" si="37"/>
        <v>101.568</v>
      </c>
      <c r="L117" s="10">
        <f t="shared" si="57"/>
        <v>0.6206952982673712</v>
      </c>
      <c r="M117" s="59">
        <f t="shared" si="58"/>
        <v>2.060836957599852E-05</v>
      </c>
      <c r="N117" s="39">
        <f t="shared" si="33"/>
        <v>7.169711646515267E-05</v>
      </c>
      <c r="O117" s="39">
        <f t="shared" si="41"/>
        <v>0.00024943635111263274</v>
      </c>
      <c r="P117" s="59">
        <f t="shared" si="47"/>
        <v>0.0008677963120961062</v>
      </c>
      <c r="Q117" s="59">
        <f t="shared" si="53"/>
        <v>0.0030190885808282037</v>
      </c>
      <c r="R117" s="39">
        <f t="shared" si="34"/>
        <v>0.01050349688266225</v>
      </c>
      <c r="S117" s="39">
        <f t="shared" si="42"/>
        <v>0.03654197080028415</v>
      </c>
      <c r="T117" s="39">
        <f t="shared" si="48"/>
        <v>0.12713057802425579</v>
      </c>
      <c r="U117" s="39">
        <f t="shared" si="54"/>
        <v>0.442290625830091</v>
      </c>
      <c r="AA117" s="10">
        <f t="shared" si="39"/>
        <v>202.368</v>
      </c>
      <c r="AB117" s="10">
        <f t="shared" si="59"/>
        <v>1.1906563440329554</v>
      </c>
      <c r="AC117" s="59">
        <f t="shared" si="60"/>
        <v>7.659034406832484E-09</v>
      </c>
      <c r="AD117" s="39">
        <f t="shared" si="35"/>
        <v>7.992021115371258E-08</v>
      </c>
      <c r="AE117" s="39">
        <f t="shared" si="43"/>
        <v>8.339484863987639E-07</v>
      </c>
      <c r="AF117" s="59">
        <f t="shared" si="49"/>
        <v>8.702055061255706E-06</v>
      </c>
      <c r="AG117" s="59">
        <f t="shared" si="55"/>
        <v>9.080388480124507E-05</v>
      </c>
      <c r="AH117" s="39">
        <f t="shared" si="36"/>
        <v>0.000947517044762066</v>
      </c>
      <c r="AI117" s="39">
        <f t="shared" si="44"/>
        <v>0.009887116086274853</v>
      </c>
      <c r="AJ117" s="39">
        <f t="shared" si="50"/>
        <v>0.10316971609521032</v>
      </c>
      <c r="AK117" s="39">
        <f t="shared" si="56"/>
        <v>1.0765515673391137</v>
      </c>
      <c r="AO117" s="10"/>
      <c r="AP117" s="39"/>
      <c r="AQ117" s="39"/>
    </row>
    <row r="118" spans="3:43" ht="12.75">
      <c r="C118" s="10"/>
      <c r="D118" s="39"/>
      <c r="K118" s="10">
        <f t="shared" si="37"/>
        <v>103.712</v>
      </c>
      <c r="L118" s="10">
        <f t="shared" si="57"/>
        <v>0.4967503622601033</v>
      </c>
      <c r="M118" s="59">
        <f t="shared" si="58"/>
        <v>1.6493131749246078E-05</v>
      </c>
      <c r="N118" s="39">
        <f t="shared" si="33"/>
        <v>5.738008451081001E-05</v>
      </c>
      <c r="O118" s="39">
        <f t="shared" si="41"/>
        <v>0.00019962698100791003</v>
      </c>
      <c r="P118" s="59">
        <f t="shared" si="47"/>
        <v>0.0006945080664498639</v>
      </c>
      <c r="Q118" s="59">
        <f t="shared" si="53"/>
        <v>0.0024162137398892796</v>
      </c>
      <c r="R118" s="39">
        <f t="shared" si="34"/>
        <v>0.008406077796435778</v>
      </c>
      <c r="S118" s="39">
        <f t="shared" si="42"/>
        <v>0.02924498886550019</v>
      </c>
      <c r="T118" s="39">
        <f t="shared" si="48"/>
        <v>0.10174416588267461</v>
      </c>
      <c r="U118" s="39">
        <f t="shared" si="54"/>
        <v>0.3539709077118856</v>
      </c>
      <c r="AA118" s="10">
        <f t="shared" si="39"/>
        <v>206.912</v>
      </c>
      <c r="AB118" s="10">
        <f t="shared" si="59"/>
        <v>0.7637543983694722</v>
      </c>
      <c r="AC118" s="59">
        <f t="shared" si="60"/>
        <v>4.912938351007466E-09</v>
      </c>
      <c r="AD118" s="39">
        <f t="shared" si="35"/>
        <v>5.126534880786271E-08</v>
      </c>
      <c r="AE118" s="39">
        <f t="shared" si="43"/>
        <v>5.349417803813659E-07</v>
      </c>
      <c r="AF118" s="59">
        <f t="shared" si="49"/>
        <v>5.581990858388472E-06</v>
      </c>
      <c r="AG118" s="59">
        <f t="shared" si="55"/>
        <v>5.824675335869101E-05</v>
      </c>
      <c r="AH118" s="39">
        <f t="shared" si="36"/>
        <v>0.0006077910843816135</v>
      </c>
      <c r="AI118" s="39">
        <f t="shared" si="44"/>
        <v>0.006342156102313608</v>
      </c>
      <c r="AJ118" s="39">
        <f t="shared" si="50"/>
        <v>0.06617889774911362</v>
      </c>
      <c r="AK118" s="39">
        <f t="shared" si="56"/>
        <v>0.6905611335693788</v>
      </c>
      <c r="AO118" s="10"/>
      <c r="AP118" s="39"/>
      <c r="AQ118" s="39"/>
    </row>
    <row r="119" spans="3:43" ht="12.75">
      <c r="C119" s="10"/>
      <c r="D119" s="39"/>
      <c r="K119" s="10">
        <f t="shared" si="37"/>
        <v>105.856</v>
      </c>
      <c r="L119" s="10">
        <f t="shared" si="57"/>
        <v>0.39755542821928114</v>
      </c>
      <c r="M119" s="59">
        <f t="shared" si="58"/>
        <v>1.3199656280174643E-05</v>
      </c>
      <c r="N119" s="39">
        <f t="shared" si="33"/>
        <v>4.592198767251637E-05</v>
      </c>
      <c r="O119" s="39">
        <f t="shared" si="41"/>
        <v>0.00015976392922913588</v>
      </c>
      <c r="P119" s="59">
        <f t="shared" si="47"/>
        <v>0.0005558233512180579</v>
      </c>
      <c r="Q119" s="59">
        <f t="shared" si="53"/>
        <v>0.0019337255865570634</v>
      </c>
      <c r="R119" s="39">
        <f t="shared" si="34"/>
        <v>0.00672748749384313</v>
      </c>
      <c r="S119" s="39">
        <f t="shared" si="42"/>
        <v>0.02340512443670878</v>
      </c>
      <c r="T119" s="39">
        <f t="shared" si="48"/>
        <v>0.08142710787632955</v>
      </c>
      <c r="U119" s="39">
        <f t="shared" si="54"/>
        <v>0.2832872739014427</v>
      </c>
      <c r="V119" s="6"/>
      <c r="W119" s="6"/>
      <c r="X119" s="6"/>
      <c r="Y119" s="6"/>
      <c r="AA119" s="10">
        <f t="shared" si="39"/>
        <v>211.45600000000002</v>
      </c>
      <c r="AB119" s="10">
        <f t="shared" si="59"/>
        <v>0.4899153176740753</v>
      </c>
      <c r="AC119" s="59">
        <f t="shared" si="60"/>
        <v>3.151436846825982E-09</v>
      </c>
      <c r="AD119" s="39">
        <f t="shared" si="35"/>
        <v>3.2884497556407355E-08</v>
      </c>
      <c r="AE119" s="39">
        <f t="shared" si="43"/>
        <v>3.4314194829145944E-07</v>
      </c>
      <c r="AF119" s="59">
        <f t="shared" si="49"/>
        <v>3.5806050092535597E-06</v>
      </c>
      <c r="AG119" s="59">
        <f t="shared" si="55"/>
        <v>3.736276574789969E-05</v>
      </c>
      <c r="AH119" s="39">
        <f t="shared" si="36"/>
        <v>0.00038987161687053547</v>
      </c>
      <c r="AI119" s="39">
        <f t="shared" si="44"/>
        <v>0.004068218040036021</v>
      </c>
      <c r="AJ119" s="39">
        <f t="shared" si="50"/>
        <v>0.04245089230686527</v>
      </c>
      <c r="AK119" s="39">
        <f t="shared" si="56"/>
        <v>0.44296501316166365</v>
      </c>
      <c r="AL119" s="6"/>
      <c r="AM119" s="6"/>
      <c r="AN119" s="6"/>
      <c r="AO119" s="10"/>
      <c r="AP119" s="39"/>
      <c r="AQ119" s="39"/>
    </row>
    <row r="120" spans="3:43" ht="12.75">
      <c r="C120" s="10"/>
      <c r="D120" s="39"/>
      <c r="J120" s="7" t="s">
        <v>96</v>
      </c>
      <c r="K120" s="48">
        <f t="shared" si="37"/>
        <v>108</v>
      </c>
      <c r="L120" s="52">
        <f t="shared" si="57"/>
        <v>0.3181685009646815</v>
      </c>
      <c r="M120" s="59">
        <f t="shared" si="58"/>
        <v>1.0563847337405641E-05</v>
      </c>
      <c r="N120" s="52">
        <f aca="true" t="shared" si="61" ref="N120:N144">M112</f>
        <v>3.675193178562587E-05</v>
      </c>
      <c r="O120" s="52">
        <f t="shared" si="41"/>
        <v>0.0001278610383920045</v>
      </c>
      <c r="P120" s="53">
        <f t="shared" si="47"/>
        <v>0.000444832267159238</v>
      </c>
      <c r="Q120" s="53">
        <f t="shared" si="53"/>
        <v>0.001547584380625535</v>
      </c>
      <c r="R120" s="52">
        <f aca="true" t="shared" si="62" ref="R120:R144">Q112</f>
        <v>0.005384091020309836</v>
      </c>
      <c r="S120" s="52">
        <f t="shared" si="42"/>
        <v>0.0187314090771993</v>
      </c>
      <c r="T120" s="52">
        <f t="shared" si="48"/>
        <v>0.06516711636074708</v>
      </c>
      <c r="U120" s="52">
        <f t="shared" si="54"/>
        <v>0.22671829104112548</v>
      </c>
      <c r="V120" s="52">
        <f aca="true" t="shared" si="63" ref="V120:V144">U112</f>
        <v>0</v>
      </c>
      <c r="Z120" s="7" t="s">
        <v>96</v>
      </c>
      <c r="AA120" s="95">
        <f t="shared" si="39"/>
        <v>216</v>
      </c>
      <c r="AB120" s="52">
        <f t="shared" si="59"/>
        <v>0.3142594255484471</v>
      </c>
      <c r="AC120" s="59">
        <f t="shared" si="60"/>
        <v>2.0215100394035926E-09</v>
      </c>
      <c r="AD120" s="52">
        <f aca="true" t="shared" si="64" ref="AD120:AD144">AC112</f>
        <v>2.1093978772880387E-08</v>
      </c>
      <c r="AE120" s="52">
        <f t="shared" si="43"/>
        <v>2.2011067558289447E-07</v>
      </c>
      <c r="AF120" s="53">
        <f t="shared" si="49"/>
        <v>2.296802799851426E-06</v>
      </c>
      <c r="AG120" s="53">
        <f t="shared" si="55"/>
        <v>2.3966593566783412E-05</v>
      </c>
      <c r="AH120" s="52">
        <f aca="true" t="shared" si="65" ref="AH120:AH144">AG112</f>
        <v>0.0002500857310137989</v>
      </c>
      <c r="AI120" s="52">
        <f t="shared" si="44"/>
        <v>0.002609585408223708</v>
      </c>
      <c r="AJ120" s="52">
        <f t="shared" si="50"/>
        <v>0.027230406049989102</v>
      </c>
      <c r="AK120" s="52">
        <f t="shared" si="56"/>
        <v>0.28414284173668947</v>
      </c>
      <c r="AL120" s="52">
        <f aca="true" t="shared" si="66" ref="AL120:AL144">AK112</f>
        <v>0</v>
      </c>
      <c r="AO120" s="10"/>
      <c r="AP120" s="39"/>
      <c r="AQ120" s="39"/>
    </row>
    <row r="121" spans="3:43" ht="12.75">
      <c r="C121" s="10"/>
      <c r="D121" s="39"/>
      <c r="J121">
        <v>10</v>
      </c>
      <c r="K121" s="10">
        <f aca="true" t="shared" si="67" ref="K121:K138">K113+C$11</f>
        <v>108.42666666666666</v>
      </c>
      <c r="L121" s="10">
        <f aca="true" t="shared" si="68" ref="L121:L128">SUM(M121:V121)</f>
        <v>0.801896967407187</v>
      </c>
      <c r="M121" s="59">
        <f t="shared" si="58"/>
        <v>1.0105790119969183E-05</v>
      </c>
      <c r="N121" s="39">
        <f t="shared" si="61"/>
        <v>3.5158337418777195E-05</v>
      </c>
      <c r="O121" s="39">
        <f t="shared" si="41"/>
        <v>0.00012231687729295136</v>
      </c>
      <c r="P121" s="59">
        <f t="shared" si="47"/>
        <v>0.0004255439696277671</v>
      </c>
      <c r="Q121" s="59">
        <f t="shared" si="53"/>
        <v>0.0014804798331537635</v>
      </c>
      <c r="R121" s="39">
        <f t="shared" si="62"/>
        <v>0.0051506323501475755</v>
      </c>
      <c r="S121" s="39">
        <f t="shared" si="42"/>
        <v>0.01791919958130996</v>
      </c>
      <c r="T121" s="39">
        <f t="shared" si="48"/>
        <v>0.062341415928399306</v>
      </c>
      <c r="U121" s="39">
        <f t="shared" si="54"/>
        <v>0.2168875971453114</v>
      </c>
      <c r="V121" s="39">
        <f t="shared" si="63"/>
        <v>0.4975245175944056</v>
      </c>
      <c r="Z121">
        <v>10</v>
      </c>
      <c r="AA121" s="10">
        <f aca="true" t="shared" si="69" ref="AA121:AA138">AA113+D$11</f>
        <v>216.42666666666668</v>
      </c>
      <c r="AB121" s="10">
        <f aca="true" t="shared" si="70" ref="AB121:AB128">SUM(AC121:AL121)</f>
        <v>2.2031874277048855</v>
      </c>
      <c r="AC121" s="59">
        <f t="shared" si="60"/>
        <v>1.9389631042220356E-09</v>
      </c>
      <c r="AD121" s="39">
        <f t="shared" si="64"/>
        <v>2.0232621042992578E-08</v>
      </c>
      <c r="AE121" s="39">
        <f t="shared" si="43"/>
        <v>2.1112261155355604E-07</v>
      </c>
      <c r="AF121" s="59">
        <f t="shared" si="49"/>
        <v>2.2030144791661176E-06</v>
      </c>
      <c r="AG121" s="59">
        <f t="shared" si="55"/>
        <v>2.2987934639982533E-05</v>
      </c>
      <c r="AH121" s="39">
        <f t="shared" si="65"/>
        <v>0.00023987365675968433</v>
      </c>
      <c r="AI121" s="39">
        <f t="shared" si="44"/>
        <v>0.0025030248305641855</v>
      </c>
      <c r="AJ121" s="39">
        <f t="shared" si="50"/>
        <v>0.026118471644835693</v>
      </c>
      <c r="AK121" s="39">
        <f t="shared" si="56"/>
        <v>0.2725400694120655</v>
      </c>
      <c r="AL121" s="39">
        <f t="shared" si="66"/>
        <v>1.9017605639173456</v>
      </c>
      <c r="AO121" s="10"/>
      <c r="AP121" s="39"/>
      <c r="AQ121" s="39"/>
    </row>
    <row r="122" spans="3:43" ht="12.75">
      <c r="C122" s="10"/>
      <c r="D122" s="39"/>
      <c r="K122" s="10">
        <f t="shared" si="67"/>
        <v>108.85333333333332</v>
      </c>
      <c r="L122" s="10">
        <f t="shared" si="68"/>
        <v>0.9292547834799572</v>
      </c>
      <c r="M122" s="59">
        <f t="shared" si="58"/>
        <v>9.667594644921076E-06</v>
      </c>
      <c r="N122" s="39">
        <f t="shared" si="61"/>
        <v>3.3633842630717054E-05</v>
      </c>
      <c r="O122" s="39">
        <f t="shared" si="41"/>
        <v>0.0001170131156359708</v>
      </c>
      <c r="P122" s="59">
        <f t="shared" si="47"/>
        <v>0.00040709202873930305</v>
      </c>
      <c r="Q122" s="59">
        <f t="shared" si="53"/>
        <v>0.001416284994740679</v>
      </c>
      <c r="R122" s="39">
        <f t="shared" si="62"/>
        <v>0.004927296642332784</v>
      </c>
      <c r="S122" s="39">
        <f t="shared" si="42"/>
        <v>0.017142208165517727</v>
      </c>
      <c r="T122" s="39">
        <f t="shared" si="48"/>
        <v>0.05963824021985808</v>
      </c>
      <c r="U122" s="39">
        <f t="shared" si="54"/>
        <v>0.2074831703231769</v>
      </c>
      <c r="V122" s="39">
        <f t="shared" si="63"/>
        <v>0.63808017655268</v>
      </c>
      <c r="W122" s="6"/>
      <c r="X122" s="6"/>
      <c r="Y122" s="6"/>
      <c r="AA122" s="10">
        <f t="shared" si="69"/>
        <v>216.85333333333332</v>
      </c>
      <c r="AB122" s="10">
        <f t="shared" si="70"/>
        <v>2.7175148790525943</v>
      </c>
      <c r="AC122" s="59">
        <f t="shared" si="60"/>
        <v>1.8597869148567553E-09</v>
      </c>
      <c r="AD122" s="39">
        <f t="shared" si="64"/>
        <v>1.9406436247847298E-08</v>
      </c>
      <c r="AE122" s="39">
        <f t="shared" si="43"/>
        <v>2.025015687728768E-07</v>
      </c>
      <c r="AF122" s="59">
        <f t="shared" si="49"/>
        <v>2.113055938337206E-06</v>
      </c>
      <c r="AG122" s="59">
        <f t="shared" si="55"/>
        <v>2.204923855948008E-05</v>
      </c>
      <c r="AH122" s="39">
        <f t="shared" si="65"/>
        <v>0.00023007858534755</v>
      </c>
      <c r="AI122" s="39">
        <f t="shared" si="44"/>
        <v>0.0024008155788568016</v>
      </c>
      <c r="AJ122" s="39">
        <f t="shared" si="50"/>
        <v>0.02505194229604075</v>
      </c>
      <c r="AK122" s="39">
        <f t="shared" si="56"/>
        <v>0.2614110881032356</v>
      </c>
      <c r="AL122" s="39">
        <f t="shared" si="66"/>
        <v>2.4283965684268236</v>
      </c>
      <c r="AM122" s="6"/>
      <c r="AN122" s="6"/>
      <c r="AO122" s="10"/>
      <c r="AP122" s="39"/>
      <c r="AQ122" s="39"/>
    </row>
    <row r="123" spans="3:43" ht="12.75">
      <c r="C123" s="10"/>
      <c r="D123" s="39"/>
      <c r="J123" s="7" t="s">
        <v>76</v>
      </c>
      <c r="K123" s="10">
        <f t="shared" si="67"/>
        <v>109.28</v>
      </c>
      <c r="L123" s="10">
        <f t="shared" si="68"/>
        <v>0.9417945510106152</v>
      </c>
      <c r="M123" s="59">
        <f t="shared" si="58"/>
        <v>9.248399690571798E-06</v>
      </c>
      <c r="N123" s="39">
        <f t="shared" si="61"/>
        <v>3.217545120616754E-05</v>
      </c>
      <c r="O123" s="39">
        <f t="shared" si="41"/>
        <v>0.00011193932950106525</v>
      </c>
      <c r="P123" s="59">
        <f t="shared" si="47"/>
        <v>0.00038944017937334144</v>
      </c>
      <c r="Q123" s="59">
        <f t="shared" si="53"/>
        <v>0.001354873697978483</v>
      </c>
      <c r="R123" s="39">
        <f t="shared" si="62"/>
        <v>0.004713644956788321</v>
      </c>
      <c r="S123" s="39">
        <f t="shared" si="42"/>
        <v>0.01639890774454228</v>
      </c>
      <c r="T123" s="39">
        <f t="shared" si="48"/>
        <v>0.0570522764610685</v>
      </c>
      <c r="U123" s="39">
        <f t="shared" si="54"/>
        <v>0.19848652727944444</v>
      </c>
      <c r="V123" s="39">
        <f t="shared" si="63"/>
        <v>0.663245517511022</v>
      </c>
      <c r="Z123" s="7" t="s">
        <v>76</v>
      </c>
      <c r="AA123" s="10">
        <f t="shared" si="69"/>
        <v>217.28</v>
      </c>
      <c r="AB123" s="10">
        <f t="shared" si="70"/>
        <v>2.7985639395744633</v>
      </c>
      <c r="AC123" s="59">
        <f t="shared" si="60"/>
        <v>1.7838438292822302E-09</v>
      </c>
      <c r="AD123" s="39">
        <f t="shared" si="64"/>
        <v>1.861398812548789E-08</v>
      </c>
      <c r="AE123" s="39">
        <f t="shared" si="43"/>
        <v>1.9423256018729982E-07</v>
      </c>
      <c r="AF123" s="59">
        <f t="shared" si="49"/>
        <v>2.026770791008235E-06</v>
      </c>
      <c r="AG123" s="59">
        <f t="shared" si="55"/>
        <v>2.1148873470663072E-05</v>
      </c>
      <c r="AH123" s="39">
        <f t="shared" si="65"/>
        <v>0.00022068348876076683</v>
      </c>
      <c r="AI123" s="39">
        <f t="shared" si="44"/>
        <v>0.0023027799697785314</v>
      </c>
      <c r="AJ123" s="39">
        <f t="shared" si="50"/>
        <v>0.02402896392018589</v>
      </c>
      <c r="AK123" s="39">
        <f t="shared" si="56"/>
        <v>0.2507365508885877</v>
      </c>
      <c r="AL123" s="39">
        <f t="shared" si="66"/>
        <v>2.5212515710324968</v>
      </c>
      <c r="AO123" s="10"/>
      <c r="AP123" s="39"/>
      <c r="AQ123" s="39"/>
    </row>
    <row r="124" spans="3:43" ht="12.75">
      <c r="C124" s="10"/>
      <c r="D124" s="39"/>
      <c r="K124" s="10">
        <f t="shared" si="67"/>
        <v>111.424</v>
      </c>
      <c r="L124" s="10">
        <f t="shared" si="68"/>
        <v>0.7754766644758211</v>
      </c>
      <c r="M124" s="59">
        <f t="shared" si="58"/>
        <v>7.401608070147217E-06</v>
      </c>
      <c r="N124" s="39">
        <f t="shared" si="61"/>
        <v>2.5750409506087608E-05</v>
      </c>
      <c r="O124" s="39">
        <f t="shared" si="41"/>
        <v>8.958642276745386E-05</v>
      </c>
      <c r="P124" s="59">
        <f t="shared" si="47"/>
        <v>0.00031167376745490675</v>
      </c>
      <c r="Q124" s="59">
        <f t="shared" si="53"/>
        <v>0.0010843220916599192</v>
      </c>
      <c r="R124" s="39">
        <f t="shared" si="62"/>
        <v>0.003772388058394585</v>
      </c>
      <c r="S124" s="39">
        <f t="shared" si="42"/>
        <v>0.013124247649822278</v>
      </c>
      <c r="T124" s="39">
        <f t="shared" si="48"/>
        <v>0.045659638856763926</v>
      </c>
      <c r="U124" s="39">
        <f t="shared" si="54"/>
        <v>0.1588512100774277</v>
      </c>
      <c r="V124" s="39">
        <f t="shared" si="63"/>
        <v>0.5525504455339542</v>
      </c>
      <c r="AA124" s="10">
        <f t="shared" si="69"/>
        <v>221.824</v>
      </c>
      <c r="AB124" s="10">
        <f t="shared" si="70"/>
        <v>1.8561754559377543</v>
      </c>
      <c r="AC124" s="59">
        <f t="shared" si="60"/>
        <v>1.144258439845958E-09</v>
      </c>
      <c r="AD124" s="39">
        <f t="shared" si="64"/>
        <v>1.1940065975591698E-08</v>
      </c>
      <c r="AE124" s="39">
        <f t="shared" si="43"/>
        <v>1.2459176226017167E-07</v>
      </c>
      <c r="AF124" s="59">
        <f t="shared" si="49"/>
        <v>1.3000855485076897E-06</v>
      </c>
      <c r="AG124" s="59">
        <f t="shared" si="55"/>
        <v>1.3566084970441562E-05</v>
      </c>
      <c r="AH124" s="39">
        <f t="shared" si="65"/>
        <v>0.00014155888559525174</v>
      </c>
      <c r="AI124" s="39">
        <f t="shared" si="44"/>
        <v>0.001477133464417428</v>
      </c>
      <c r="AJ124" s="39">
        <f t="shared" si="50"/>
        <v>0.015413538065992115</v>
      </c>
      <c r="AK124" s="39">
        <f t="shared" si="56"/>
        <v>0.16083662135803473</v>
      </c>
      <c r="AL124" s="39">
        <f t="shared" si="66"/>
        <v>1.6782916003171091</v>
      </c>
      <c r="AO124" s="10"/>
      <c r="AP124" s="39"/>
      <c r="AQ124" s="39"/>
    </row>
    <row r="125" spans="3:42" ht="12.75">
      <c r="C125" s="10"/>
      <c r="D125" s="39"/>
      <c r="K125" s="10">
        <f t="shared" si="67"/>
        <v>113.568</v>
      </c>
      <c r="L125" s="10">
        <f t="shared" si="68"/>
        <v>0.6207012218653836</v>
      </c>
      <c r="M125" s="59">
        <f t="shared" si="58"/>
        <v>5.923598012304495E-06</v>
      </c>
      <c r="N125" s="39">
        <f t="shared" si="61"/>
        <v>2.060836957599852E-05</v>
      </c>
      <c r="O125" s="39">
        <f t="shared" si="41"/>
        <v>7.169711646515267E-05</v>
      </c>
      <c r="P125" s="59">
        <f t="shared" si="47"/>
        <v>0.00024943635111263274</v>
      </c>
      <c r="Q125" s="59">
        <f t="shared" si="53"/>
        <v>0.0008677963120961062</v>
      </c>
      <c r="R125" s="39">
        <f t="shared" si="62"/>
        <v>0.0030190885808282037</v>
      </c>
      <c r="S125" s="39">
        <f t="shared" si="42"/>
        <v>0.01050349688266225</v>
      </c>
      <c r="T125" s="39">
        <f t="shared" si="48"/>
        <v>0.03654197080028415</v>
      </c>
      <c r="U125" s="39">
        <f t="shared" si="54"/>
        <v>0.12713057802425579</v>
      </c>
      <c r="V125" s="39">
        <f t="shared" si="63"/>
        <v>0.442290625830091</v>
      </c>
      <c r="AA125" s="10">
        <f t="shared" si="69"/>
        <v>226.368</v>
      </c>
      <c r="AB125" s="10">
        <f t="shared" si="70"/>
        <v>1.1906563447669476</v>
      </c>
      <c r="AC125" s="59">
        <f t="shared" si="60"/>
        <v>7.339921554038439E-10</v>
      </c>
      <c r="AD125" s="39">
        <f t="shared" si="64"/>
        <v>7.659034406832484E-09</v>
      </c>
      <c r="AE125" s="39">
        <f t="shared" si="43"/>
        <v>7.992021115371258E-08</v>
      </c>
      <c r="AF125" s="59">
        <f t="shared" si="49"/>
        <v>8.339484863987639E-07</v>
      </c>
      <c r="AG125" s="59">
        <f t="shared" si="55"/>
        <v>8.702055061255706E-06</v>
      </c>
      <c r="AH125" s="39">
        <f t="shared" si="65"/>
        <v>9.080388480124507E-05</v>
      </c>
      <c r="AI125" s="39">
        <f t="shared" si="44"/>
        <v>0.000947517044762066</v>
      </c>
      <c r="AJ125" s="39">
        <f t="shared" si="50"/>
        <v>0.009887116086274853</v>
      </c>
      <c r="AK125" s="39">
        <f t="shared" si="56"/>
        <v>0.10316971609521032</v>
      </c>
      <c r="AL125" s="39">
        <f t="shared" si="66"/>
        <v>1.0765515673391137</v>
      </c>
      <c r="AP125" s="39"/>
    </row>
    <row r="126" spans="3:42" ht="12.75">
      <c r="C126" s="10"/>
      <c r="D126" s="39"/>
      <c r="K126" s="10">
        <f t="shared" si="67"/>
        <v>115.712</v>
      </c>
      <c r="L126" s="10">
        <f t="shared" si="68"/>
        <v>0.49675510298848</v>
      </c>
      <c r="M126" s="59">
        <f t="shared" si="58"/>
        <v>4.740728376702568E-06</v>
      </c>
      <c r="N126" s="39">
        <f t="shared" si="61"/>
        <v>1.6493131749246078E-05</v>
      </c>
      <c r="O126" s="39">
        <f t="shared" si="41"/>
        <v>5.738008451081001E-05</v>
      </c>
      <c r="P126" s="59">
        <f t="shared" si="47"/>
        <v>0.00019962698100791003</v>
      </c>
      <c r="Q126" s="59">
        <f t="shared" si="53"/>
        <v>0.0006945080664498639</v>
      </c>
      <c r="R126" s="39">
        <f t="shared" si="62"/>
        <v>0.0024162137398892796</v>
      </c>
      <c r="S126" s="39">
        <f t="shared" si="42"/>
        <v>0.008406077796435778</v>
      </c>
      <c r="T126" s="39">
        <f t="shared" si="48"/>
        <v>0.02924498886550019</v>
      </c>
      <c r="U126" s="39">
        <f t="shared" si="54"/>
        <v>0.10174416588267461</v>
      </c>
      <c r="V126" s="39">
        <f t="shared" si="63"/>
        <v>0.3539709077118856</v>
      </c>
      <c r="AA126" s="10">
        <f t="shared" si="69"/>
        <v>230.912</v>
      </c>
      <c r="AB126" s="10">
        <f t="shared" si="70"/>
        <v>0.7637543988402964</v>
      </c>
      <c r="AC126" s="59">
        <f t="shared" si="60"/>
        <v>4.708241297891649E-10</v>
      </c>
      <c r="AD126" s="39">
        <f t="shared" si="64"/>
        <v>4.912938351007466E-09</v>
      </c>
      <c r="AE126" s="39">
        <f t="shared" si="43"/>
        <v>5.126534880786271E-08</v>
      </c>
      <c r="AF126" s="59">
        <f t="shared" si="49"/>
        <v>5.349417803813659E-07</v>
      </c>
      <c r="AG126" s="59">
        <f t="shared" si="55"/>
        <v>5.581990858388472E-06</v>
      </c>
      <c r="AH126" s="39">
        <f t="shared" si="65"/>
        <v>5.824675335869101E-05</v>
      </c>
      <c r="AI126" s="39">
        <f t="shared" si="44"/>
        <v>0.0006077910843816135</v>
      </c>
      <c r="AJ126" s="39">
        <f t="shared" si="50"/>
        <v>0.006342156102313608</v>
      </c>
      <c r="AK126" s="39">
        <f t="shared" si="56"/>
        <v>0.06617889774911362</v>
      </c>
      <c r="AL126" s="39">
        <f t="shared" si="66"/>
        <v>0.6905611335693788</v>
      </c>
      <c r="AP126" s="39"/>
    </row>
    <row r="127" spans="3:42" ht="12.75">
      <c r="C127" s="10"/>
      <c r="D127" s="39"/>
      <c r="K127" s="10">
        <f t="shared" si="67"/>
        <v>117.856</v>
      </c>
      <c r="L127" s="10">
        <f t="shared" si="68"/>
        <v>0.3975592222825337</v>
      </c>
      <c r="M127" s="59">
        <f t="shared" si="58"/>
        <v>3.7940632526023822E-06</v>
      </c>
      <c r="N127" s="39">
        <f t="shared" si="61"/>
        <v>1.3199656280174643E-05</v>
      </c>
      <c r="O127" s="39">
        <f t="shared" si="41"/>
        <v>4.592198767251637E-05</v>
      </c>
      <c r="P127" s="59">
        <f t="shared" si="47"/>
        <v>0.00015976392922913588</v>
      </c>
      <c r="Q127" s="59">
        <f t="shared" si="53"/>
        <v>0.0005558233512180579</v>
      </c>
      <c r="R127" s="39">
        <f t="shared" si="62"/>
        <v>0.0019337255865570634</v>
      </c>
      <c r="S127" s="39">
        <f t="shared" si="42"/>
        <v>0.00672748749384313</v>
      </c>
      <c r="T127" s="39">
        <f t="shared" si="48"/>
        <v>0.02340512443670878</v>
      </c>
      <c r="U127" s="39">
        <f t="shared" si="54"/>
        <v>0.08142710787632955</v>
      </c>
      <c r="V127" s="39">
        <f t="shared" si="63"/>
        <v>0.2832872739014427</v>
      </c>
      <c r="AA127" s="10">
        <f t="shared" si="69"/>
        <v>235.45600000000002</v>
      </c>
      <c r="AB127" s="10">
        <f t="shared" si="70"/>
        <v>0.48991531797608856</v>
      </c>
      <c r="AC127" s="59">
        <f t="shared" si="60"/>
        <v>3.0201325662636995E-10</v>
      </c>
      <c r="AD127" s="39">
        <f t="shared" si="64"/>
        <v>3.151436846825982E-09</v>
      </c>
      <c r="AE127" s="39">
        <f t="shared" si="43"/>
        <v>3.2884497556407355E-08</v>
      </c>
      <c r="AF127" s="59">
        <f t="shared" si="49"/>
        <v>3.4314194829145944E-07</v>
      </c>
      <c r="AG127" s="59">
        <f t="shared" si="55"/>
        <v>3.5806050092535597E-06</v>
      </c>
      <c r="AH127" s="39">
        <f t="shared" si="65"/>
        <v>3.736276574789969E-05</v>
      </c>
      <c r="AI127" s="39">
        <f t="shared" si="44"/>
        <v>0.00038987161687053547</v>
      </c>
      <c r="AJ127" s="39">
        <f t="shared" si="50"/>
        <v>0.004068218040036021</v>
      </c>
      <c r="AK127" s="39">
        <f t="shared" si="56"/>
        <v>0.04245089230686527</v>
      </c>
      <c r="AL127" s="39">
        <f t="shared" si="66"/>
        <v>0.44296501316166365</v>
      </c>
      <c r="AP127" s="39"/>
    </row>
    <row r="128" spans="3:42" ht="12.75">
      <c r="C128" s="10"/>
      <c r="D128" s="39"/>
      <c r="J128" s="7" t="s">
        <v>96</v>
      </c>
      <c r="K128" s="48">
        <f t="shared" si="67"/>
        <v>120</v>
      </c>
      <c r="L128" s="10">
        <f t="shared" si="68"/>
        <v>0.318171537400187</v>
      </c>
      <c r="M128" s="59">
        <f t="shared" si="58"/>
        <v>3.0364355054571193E-06</v>
      </c>
      <c r="N128" s="52">
        <f t="shared" si="61"/>
        <v>1.0563847337405641E-05</v>
      </c>
      <c r="O128" s="52">
        <f aca="true" t="shared" si="71" ref="O128:O144">N120</f>
        <v>3.675193178562587E-05</v>
      </c>
      <c r="P128" s="53">
        <f t="shared" si="47"/>
        <v>0.0001278610383920045</v>
      </c>
      <c r="Q128" s="53">
        <f t="shared" si="53"/>
        <v>0.000444832267159238</v>
      </c>
      <c r="R128" s="52">
        <f t="shared" si="62"/>
        <v>0.001547584380625535</v>
      </c>
      <c r="S128" s="52">
        <f aca="true" t="shared" si="72" ref="S128:S144">R120</f>
        <v>0.005384091020309836</v>
      </c>
      <c r="T128" s="52">
        <f t="shared" si="48"/>
        <v>0.0187314090771993</v>
      </c>
      <c r="U128" s="52">
        <f t="shared" si="54"/>
        <v>0.06516711636074708</v>
      </c>
      <c r="V128" s="52">
        <f t="shared" si="63"/>
        <v>0.22671829104112548</v>
      </c>
      <c r="W128" s="52">
        <f aca="true" t="shared" si="73" ref="W128:W144">V120</f>
        <v>0</v>
      </c>
      <c r="Z128" s="7" t="s">
        <v>96</v>
      </c>
      <c r="AA128" s="95">
        <f t="shared" si="69"/>
        <v>240</v>
      </c>
      <c r="AB128" s="95">
        <f t="shared" si="70"/>
        <v>0.3142594257421755</v>
      </c>
      <c r="AC128" s="59">
        <f t="shared" si="60"/>
        <v>1.9372840389236356E-10</v>
      </c>
      <c r="AD128" s="52">
        <f t="shared" si="64"/>
        <v>2.0215100394035926E-09</v>
      </c>
      <c r="AE128" s="52">
        <f aca="true" t="shared" si="74" ref="AE128:AE144">AD120</f>
        <v>2.1093978772880387E-08</v>
      </c>
      <c r="AF128" s="53">
        <f t="shared" si="49"/>
        <v>2.2011067558289447E-07</v>
      </c>
      <c r="AG128" s="53">
        <f t="shared" si="55"/>
        <v>2.296802799851426E-06</v>
      </c>
      <c r="AH128" s="52">
        <f t="shared" si="65"/>
        <v>2.3966593566783412E-05</v>
      </c>
      <c r="AI128" s="52">
        <f aca="true" t="shared" si="75" ref="AI128:AI144">AH120</f>
        <v>0.0002500857310137989</v>
      </c>
      <c r="AJ128" s="52">
        <f t="shared" si="50"/>
        <v>0.002609585408223708</v>
      </c>
      <c r="AK128" s="52">
        <f t="shared" si="56"/>
        <v>0.027230406049989102</v>
      </c>
      <c r="AL128" s="52">
        <f t="shared" si="66"/>
        <v>0.28414284173668947</v>
      </c>
      <c r="AM128" s="52">
        <f aca="true" t="shared" si="76" ref="AM128:AM144">AL120</f>
        <v>0</v>
      </c>
      <c r="AP128" s="39"/>
    </row>
    <row r="129" spans="3:42" ht="12.75">
      <c r="C129" s="10"/>
      <c r="D129" s="39"/>
      <c r="J129">
        <v>11</v>
      </c>
      <c r="K129" s="10">
        <f t="shared" si="67"/>
        <v>120.42666666666666</v>
      </c>
      <c r="L129" s="10">
        <f aca="true" t="shared" si="77" ref="L129:L136">SUM(M129:W129)</f>
        <v>0.8018998721803204</v>
      </c>
      <c r="M129" s="59">
        <f t="shared" si="58"/>
        <v>2.9047731333940456E-06</v>
      </c>
      <c r="N129" s="39">
        <f t="shared" si="61"/>
        <v>1.0105790119969183E-05</v>
      </c>
      <c r="O129" s="39">
        <f t="shared" si="71"/>
        <v>3.5158337418777195E-05</v>
      </c>
      <c r="P129" s="59">
        <f t="shared" si="47"/>
        <v>0.00012231687729295136</v>
      </c>
      <c r="Q129" s="59">
        <f t="shared" si="53"/>
        <v>0.0004255439696277671</v>
      </c>
      <c r="R129" s="39">
        <f t="shared" si="62"/>
        <v>0.0014804798331537635</v>
      </c>
      <c r="S129" s="39">
        <f t="shared" si="72"/>
        <v>0.0051506323501475755</v>
      </c>
      <c r="T129" s="39">
        <f t="shared" si="48"/>
        <v>0.01791919958130996</v>
      </c>
      <c r="U129" s="39">
        <f t="shared" si="54"/>
        <v>0.062341415928399306</v>
      </c>
      <c r="V129" s="39">
        <f t="shared" si="63"/>
        <v>0.2168875971453114</v>
      </c>
      <c r="W129" s="39">
        <f t="shared" si="73"/>
        <v>0.4975245175944056</v>
      </c>
      <c r="X129" s="10"/>
      <c r="Y129" s="10"/>
      <c r="Z129">
        <v>11</v>
      </c>
      <c r="AA129" s="10">
        <f t="shared" si="69"/>
        <v>240.42666666666668</v>
      </c>
      <c r="AB129" s="10">
        <f aca="true" t="shared" si="78" ref="AB129:AB136">SUM(AC129:AM129)</f>
        <v>2.203187427890703</v>
      </c>
      <c r="AC129" s="59">
        <f t="shared" si="60"/>
        <v>1.858176413004313E-10</v>
      </c>
      <c r="AD129" s="39">
        <f t="shared" si="64"/>
        <v>1.9389631042220356E-09</v>
      </c>
      <c r="AE129" s="39">
        <f t="shared" si="74"/>
        <v>2.0232621042992578E-08</v>
      </c>
      <c r="AF129" s="59">
        <f t="shared" si="49"/>
        <v>2.1112261155355604E-07</v>
      </c>
      <c r="AG129" s="59">
        <f t="shared" si="55"/>
        <v>2.2030144791661176E-06</v>
      </c>
      <c r="AH129" s="39">
        <f t="shared" si="65"/>
        <v>2.2987934639982533E-05</v>
      </c>
      <c r="AI129" s="39">
        <f t="shared" si="75"/>
        <v>0.00023987365675968433</v>
      </c>
      <c r="AJ129" s="39">
        <f t="shared" si="50"/>
        <v>0.0025030248305641855</v>
      </c>
      <c r="AK129" s="39">
        <f t="shared" si="56"/>
        <v>0.026118471644835693</v>
      </c>
      <c r="AL129" s="39">
        <f t="shared" si="66"/>
        <v>0.2725400694120655</v>
      </c>
      <c r="AM129" s="39">
        <f t="shared" si="76"/>
        <v>1.9017605639173456</v>
      </c>
      <c r="AN129" s="10"/>
      <c r="AP129" s="39"/>
    </row>
    <row r="130" spans="3:42" ht="12.75">
      <c r="C130" s="10"/>
      <c r="D130" s="39"/>
      <c r="K130" s="10">
        <f t="shared" si="67"/>
        <v>120.85333333333332</v>
      </c>
      <c r="L130" s="10">
        <f t="shared" si="77"/>
        <v>0.9292575622997086</v>
      </c>
      <c r="M130" s="59">
        <f t="shared" si="58"/>
        <v>2.7788197514235065E-06</v>
      </c>
      <c r="N130" s="39">
        <f t="shared" si="61"/>
        <v>9.667594644921076E-06</v>
      </c>
      <c r="O130" s="39">
        <f t="shared" si="71"/>
        <v>3.3633842630717054E-05</v>
      </c>
      <c r="P130" s="59">
        <f t="shared" si="47"/>
        <v>0.0001170131156359708</v>
      </c>
      <c r="Q130" s="59">
        <f t="shared" si="53"/>
        <v>0.00040709202873930305</v>
      </c>
      <c r="R130" s="39">
        <f t="shared" si="62"/>
        <v>0.001416284994740679</v>
      </c>
      <c r="S130" s="39">
        <f t="shared" si="72"/>
        <v>0.004927296642332784</v>
      </c>
      <c r="T130" s="39">
        <f t="shared" si="48"/>
        <v>0.017142208165517727</v>
      </c>
      <c r="U130" s="39">
        <f t="shared" si="54"/>
        <v>0.05963824021985808</v>
      </c>
      <c r="V130" s="39">
        <f t="shared" si="63"/>
        <v>0.2074831703231769</v>
      </c>
      <c r="W130" s="39">
        <f t="shared" si="73"/>
        <v>0.63808017655268</v>
      </c>
      <c r="X130" s="96"/>
      <c r="Y130" s="96"/>
      <c r="AA130" s="10">
        <f t="shared" si="69"/>
        <v>240.85333333333332</v>
      </c>
      <c r="AB130" s="10">
        <f t="shared" si="78"/>
        <v>2.717514879230824</v>
      </c>
      <c r="AC130" s="59">
        <f t="shared" si="60"/>
        <v>1.7822990911358514E-10</v>
      </c>
      <c r="AD130" s="39">
        <f t="shared" si="64"/>
        <v>1.8597869148567553E-09</v>
      </c>
      <c r="AE130" s="39">
        <f t="shared" si="74"/>
        <v>1.9406436247847298E-08</v>
      </c>
      <c r="AF130" s="59">
        <f t="shared" si="49"/>
        <v>2.025015687728768E-07</v>
      </c>
      <c r="AG130" s="59">
        <f t="shared" si="55"/>
        <v>2.113055938337206E-06</v>
      </c>
      <c r="AH130" s="39">
        <f t="shared" si="65"/>
        <v>2.204923855948008E-05</v>
      </c>
      <c r="AI130" s="39">
        <f t="shared" si="75"/>
        <v>0.00023007858534755</v>
      </c>
      <c r="AJ130" s="39">
        <f t="shared" si="50"/>
        <v>0.0024008155788568016</v>
      </c>
      <c r="AK130" s="39">
        <f t="shared" si="56"/>
        <v>0.02505194229604075</v>
      </c>
      <c r="AL130" s="39">
        <f t="shared" si="66"/>
        <v>0.2614110881032356</v>
      </c>
      <c r="AM130" s="39">
        <f t="shared" si="76"/>
        <v>2.4283965684268236</v>
      </c>
      <c r="AN130" s="96"/>
      <c r="AP130" s="39"/>
    </row>
    <row r="131" spans="3:42" ht="12.75">
      <c r="C131" s="10"/>
      <c r="D131" s="39"/>
      <c r="J131" s="7" t="s">
        <v>76</v>
      </c>
      <c r="K131" s="10">
        <f t="shared" si="67"/>
        <v>121.28</v>
      </c>
      <c r="L131" s="39">
        <f t="shared" si="77"/>
        <v>0.9417972093384281</v>
      </c>
      <c r="M131" s="59">
        <f t="shared" si="58"/>
        <v>2.6583278129810087E-06</v>
      </c>
      <c r="N131" s="39">
        <f t="shared" si="61"/>
        <v>9.248399690571798E-06</v>
      </c>
      <c r="O131" s="39">
        <f t="shared" si="71"/>
        <v>3.217545120616754E-05</v>
      </c>
      <c r="P131" s="59">
        <f t="shared" si="47"/>
        <v>0.00011193932950106525</v>
      </c>
      <c r="Q131" s="59">
        <f t="shared" si="53"/>
        <v>0.00038944017937334144</v>
      </c>
      <c r="R131" s="39">
        <f t="shared" si="62"/>
        <v>0.001354873697978483</v>
      </c>
      <c r="S131" s="39">
        <f t="shared" si="72"/>
        <v>0.004713644956788321</v>
      </c>
      <c r="T131" s="39">
        <f t="shared" si="48"/>
        <v>0.01639890774454228</v>
      </c>
      <c r="U131" s="39">
        <f t="shared" si="54"/>
        <v>0.0570522764610685</v>
      </c>
      <c r="V131" s="39">
        <f t="shared" si="63"/>
        <v>0.19848652727944444</v>
      </c>
      <c r="W131" s="39">
        <f t="shared" si="73"/>
        <v>0.663245517511022</v>
      </c>
      <c r="X131" s="10"/>
      <c r="Y131" s="10"/>
      <c r="Z131" s="7" t="s">
        <v>76</v>
      </c>
      <c r="AA131" s="10">
        <f t="shared" si="69"/>
        <v>241.28</v>
      </c>
      <c r="AB131" s="10">
        <f t="shared" si="78"/>
        <v>2.7985639397454154</v>
      </c>
      <c r="AC131" s="59">
        <f t="shared" si="60"/>
        <v>1.709520166133062E-10</v>
      </c>
      <c r="AD131" s="39">
        <f t="shared" si="64"/>
        <v>1.7838438292822302E-09</v>
      </c>
      <c r="AE131" s="39">
        <f t="shared" si="74"/>
        <v>1.861398812548789E-08</v>
      </c>
      <c r="AF131" s="59">
        <f t="shared" si="49"/>
        <v>1.9423256018729982E-07</v>
      </c>
      <c r="AG131" s="59">
        <f t="shared" si="55"/>
        <v>2.026770791008235E-06</v>
      </c>
      <c r="AH131" s="39">
        <f t="shared" si="65"/>
        <v>2.1148873470663072E-05</v>
      </c>
      <c r="AI131" s="39">
        <f t="shared" si="75"/>
        <v>0.00022068348876076683</v>
      </c>
      <c r="AJ131" s="39">
        <f t="shared" si="50"/>
        <v>0.0023027799697785314</v>
      </c>
      <c r="AK131" s="39">
        <f t="shared" si="56"/>
        <v>0.02402896392018589</v>
      </c>
      <c r="AL131" s="39">
        <f t="shared" si="66"/>
        <v>0.2507365508885877</v>
      </c>
      <c r="AM131" s="39">
        <f t="shared" si="76"/>
        <v>2.5212515710324968</v>
      </c>
      <c r="AN131" s="10"/>
      <c r="AP131" s="39"/>
    </row>
    <row r="132" spans="3:42" ht="12.75">
      <c r="C132" s="10"/>
      <c r="D132" s="39"/>
      <c r="H132" s="59"/>
      <c r="K132" s="10">
        <f t="shared" si="67"/>
        <v>123.424</v>
      </c>
      <c r="L132" s="10">
        <f t="shared" si="77"/>
        <v>0.7754787919682795</v>
      </c>
      <c r="M132" s="59">
        <f t="shared" si="58"/>
        <v>2.127492458367203E-06</v>
      </c>
      <c r="N132" s="39">
        <f t="shared" si="61"/>
        <v>7.401608070147217E-06</v>
      </c>
      <c r="O132" s="39">
        <f t="shared" si="71"/>
        <v>2.5750409506087608E-05</v>
      </c>
      <c r="P132" s="59">
        <f t="shared" si="47"/>
        <v>8.958642276745386E-05</v>
      </c>
      <c r="Q132" s="59">
        <f t="shared" si="53"/>
        <v>0.00031167376745490675</v>
      </c>
      <c r="R132" s="39">
        <f t="shared" si="62"/>
        <v>0.0010843220916599192</v>
      </c>
      <c r="S132" s="39">
        <f t="shared" si="72"/>
        <v>0.003772388058394585</v>
      </c>
      <c r="T132" s="39">
        <f t="shared" si="48"/>
        <v>0.013124247649822278</v>
      </c>
      <c r="U132" s="39">
        <f t="shared" si="54"/>
        <v>0.045659638856763926</v>
      </c>
      <c r="V132" s="39">
        <f t="shared" si="63"/>
        <v>0.1588512100774277</v>
      </c>
      <c r="W132" s="39">
        <f t="shared" si="73"/>
        <v>0.5525504455339542</v>
      </c>
      <c r="X132" s="10"/>
      <c r="Y132" s="10"/>
      <c r="AA132" s="10">
        <f t="shared" si="69"/>
        <v>245.824</v>
      </c>
      <c r="AB132" s="10">
        <f t="shared" si="78"/>
        <v>1.8561754560474126</v>
      </c>
      <c r="AC132" s="59">
        <f t="shared" si="60"/>
        <v>1.0965830338251724E-10</v>
      </c>
      <c r="AD132" s="39">
        <f t="shared" si="64"/>
        <v>1.144258439845958E-09</v>
      </c>
      <c r="AE132" s="39">
        <f t="shared" si="74"/>
        <v>1.1940065975591698E-08</v>
      </c>
      <c r="AF132" s="59">
        <f t="shared" si="49"/>
        <v>1.2459176226017167E-07</v>
      </c>
      <c r="AG132" s="59">
        <f t="shared" si="55"/>
        <v>1.3000855485076897E-06</v>
      </c>
      <c r="AH132" s="39">
        <f t="shared" si="65"/>
        <v>1.3566084970441562E-05</v>
      </c>
      <c r="AI132" s="39">
        <f t="shared" si="75"/>
        <v>0.00014155888559525174</v>
      </c>
      <c r="AJ132" s="39">
        <f t="shared" si="50"/>
        <v>0.001477133464417428</v>
      </c>
      <c r="AK132" s="39">
        <f t="shared" si="56"/>
        <v>0.015413538065992115</v>
      </c>
      <c r="AL132" s="39">
        <f t="shared" si="66"/>
        <v>0.16083662135803473</v>
      </c>
      <c r="AM132" s="39">
        <f t="shared" si="76"/>
        <v>1.6782916003171091</v>
      </c>
      <c r="AN132" s="10"/>
      <c r="AP132" s="39"/>
    </row>
    <row r="133" spans="3:42" ht="12.75">
      <c r="C133" s="10"/>
      <c r="D133" s="39"/>
      <c r="K133" s="10">
        <f t="shared" si="67"/>
        <v>125.568</v>
      </c>
      <c r="L133" s="10">
        <f t="shared" si="77"/>
        <v>0.620702924523776</v>
      </c>
      <c r="M133" s="59">
        <f t="shared" si="58"/>
        <v>1.702658392357444E-06</v>
      </c>
      <c r="N133" s="39">
        <f t="shared" si="61"/>
        <v>5.923598012304495E-06</v>
      </c>
      <c r="O133" s="39">
        <f t="shared" si="71"/>
        <v>2.060836957599852E-05</v>
      </c>
      <c r="P133" s="59">
        <f t="shared" si="47"/>
        <v>7.169711646515267E-05</v>
      </c>
      <c r="Q133" s="59">
        <f t="shared" si="53"/>
        <v>0.00024943635111263274</v>
      </c>
      <c r="R133" s="39">
        <f t="shared" si="62"/>
        <v>0.0008677963120961062</v>
      </c>
      <c r="S133" s="39">
        <f t="shared" si="72"/>
        <v>0.0030190885808282037</v>
      </c>
      <c r="T133" s="39">
        <f t="shared" si="48"/>
        <v>0.01050349688266225</v>
      </c>
      <c r="U133" s="39">
        <f t="shared" si="54"/>
        <v>0.03654197080028415</v>
      </c>
      <c r="V133" s="39">
        <f t="shared" si="63"/>
        <v>0.12713057802425579</v>
      </c>
      <c r="W133" s="39">
        <f t="shared" si="73"/>
        <v>0.442290625830091</v>
      </c>
      <c r="X133" s="10"/>
      <c r="Y133" s="10"/>
      <c r="AA133" s="10">
        <f t="shared" si="69"/>
        <v>250.368</v>
      </c>
      <c r="AB133" s="10">
        <f t="shared" si="78"/>
        <v>1.1906563448372887</v>
      </c>
      <c r="AC133" s="59">
        <f t="shared" si="60"/>
        <v>7.034104504267229E-11</v>
      </c>
      <c r="AD133" s="39">
        <f t="shared" si="64"/>
        <v>7.339921554038439E-10</v>
      </c>
      <c r="AE133" s="39">
        <f t="shared" si="74"/>
        <v>7.659034406832484E-09</v>
      </c>
      <c r="AF133" s="59">
        <f t="shared" si="49"/>
        <v>7.992021115371258E-08</v>
      </c>
      <c r="AG133" s="59">
        <f t="shared" si="55"/>
        <v>8.339484863987639E-07</v>
      </c>
      <c r="AH133" s="39">
        <f t="shared" si="65"/>
        <v>8.702055061255706E-06</v>
      </c>
      <c r="AI133" s="39">
        <f t="shared" si="75"/>
        <v>9.080388480124507E-05</v>
      </c>
      <c r="AJ133" s="39">
        <f t="shared" si="50"/>
        <v>0.000947517044762066</v>
      </c>
      <c r="AK133" s="39">
        <f t="shared" si="56"/>
        <v>0.009887116086274853</v>
      </c>
      <c r="AL133" s="39">
        <f t="shared" si="66"/>
        <v>0.10316971609521032</v>
      </c>
      <c r="AM133" s="39">
        <f t="shared" si="76"/>
        <v>1.0765515673391137</v>
      </c>
      <c r="AN133" s="10"/>
      <c r="AP133" s="39"/>
    </row>
    <row r="134" spans="3:42" ht="12.75">
      <c r="C134" s="10"/>
      <c r="D134" s="39"/>
      <c r="K134" s="10">
        <f t="shared" si="67"/>
        <v>127.712</v>
      </c>
      <c r="L134" s="10">
        <f t="shared" si="77"/>
        <v>0.4967564656469419</v>
      </c>
      <c r="M134" s="59">
        <f t="shared" si="58"/>
        <v>1.3626584619200837E-06</v>
      </c>
      <c r="N134" s="39">
        <f t="shared" si="61"/>
        <v>4.740728376702568E-06</v>
      </c>
      <c r="O134" s="39">
        <f t="shared" si="71"/>
        <v>1.6493131749246078E-05</v>
      </c>
      <c r="P134" s="59">
        <f t="shared" si="47"/>
        <v>5.738008451081001E-05</v>
      </c>
      <c r="Q134" s="59">
        <f t="shared" si="53"/>
        <v>0.00019962698100791003</v>
      </c>
      <c r="R134" s="39">
        <f t="shared" si="62"/>
        <v>0.0006945080664498639</v>
      </c>
      <c r="S134" s="39">
        <f t="shared" si="72"/>
        <v>0.0024162137398892796</v>
      </c>
      <c r="T134" s="39">
        <f t="shared" si="48"/>
        <v>0.008406077796435778</v>
      </c>
      <c r="U134" s="39">
        <f t="shared" si="54"/>
        <v>0.02924498886550019</v>
      </c>
      <c r="V134" s="39">
        <f t="shared" si="63"/>
        <v>0.10174416588267461</v>
      </c>
      <c r="W134" s="39">
        <f t="shared" si="73"/>
        <v>0.3539709077118856</v>
      </c>
      <c r="X134" s="10"/>
      <c r="Y134" s="10"/>
      <c r="AA134" s="10">
        <f t="shared" si="69"/>
        <v>254.912</v>
      </c>
      <c r="AB134" s="10">
        <f t="shared" si="78"/>
        <v>0.7637543988854171</v>
      </c>
      <c r="AC134" s="59">
        <f t="shared" si="60"/>
        <v>4.512072925691541E-11</v>
      </c>
      <c r="AD134" s="39">
        <f t="shared" si="64"/>
        <v>4.708241297891649E-10</v>
      </c>
      <c r="AE134" s="39">
        <f t="shared" si="74"/>
        <v>4.912938351007466E-09</v>
      </c>
      <c r="AF134" s="59">
        <f t="shared" si="49"/>
        <v>5.126534880786271E-08</v>
      </c>
      <c r="AG134" s="59">
        <f t="shared" si="55"/>
        <v>5.349417803813659E-07</v>
      </c>
      <c r="AH134" s="39">
        <f t="shared" si="65"/>
        <v>5.581990858388472E-06</v>
      </c>
      <c r="AI134" s="39">
        <f t="shared" si="75"/>
        <v>5.824675335869101E-05</v>
      </c>
      <c r="AJ134" s="39">
        <f t="shared" si="50"/>
        <v>0.0006077910843816135</v>
      </c>
      <c r="AK134" s="39">
        <f t="shared" si="56"/>
        <v>0.006342156102313608</v>
      </c>
      <c r="AL134" s="39">
        <f t="shared" si="66"/>
        <v>0.06617889774911362</v>
      </c>
      <c r="AM134" s="39">
        <f t="shared" si="76"/>
        <v>0.6905611335693788</v>
      </c>
      <c r="AN134" s="10"/>
      <c r="AP134" s="39"/>
    </row>
    <row r="135" spans="3:42" ht="12.75">
      <c r="C135" s="10"/>
      <c r="D135" s="39"/>
      <c r="H135" s="59"/>
      <c r="K135" s="10">
        <f t="shared" si="67"/>
        <v>129.856</v>
      </c>
      <c r="L135" s="10">
        <f t="shared" si="77"/>
        <v>0.39756031283486776</v>
      </c>
      <c r="M135" s="59">
        <f t="shared" si="58"/>
        <v>1.0905523340307264E-06</v>
      </c>
      <c r="N135" s="39">
        <f t="shared" si="61"/>
        <v>3.7940632526023822E-06</v>
      </c>
      <c r="O135" s="39">
        <f t="shared" si="71"/>
        <v>1.3199656280174643E-05</v>
      </c>
      <c r="P135" s="59">
        <f t="shared" si="47"/>
        <v>4.592198767251637E-05</v>
      </c>
      <c r="Q135" s="59">
        <f t="shared" si="53"/>
        <v>0.00015976392922913588</v>
      </c>
      <c r="R135" s="39">
        <f t="shared" si="62"/>
        <v>0.0005558233512180579</v>
      </c>
      <c r="S135" s="39">
        <f t="shared" si="72"/>
        <v>0.0019337255865570634</v>
      </c>
      <c r="T135" s="39">
        <f t="shared" si="48"/>
        <v>0.00672748749384313</v>
      </c>
      <c r="U135" s="39">
        <f t="shared" si="54"/>
        <v>0.02340512443670878</v>
      </c>
      <c r="V135" s="39">
        <f t="shared" si="63"/>
        <v>0.08142710787632955</v>
      </c>
      <c r="W135" s="39">
        <f t="shared" si="73"/>
        <v>0.2832872739014427</v>
      </c>
      <c r="X135" s="10"/>
      <c r="Y135" s="10"/>
      <c r="AA135" s="10">
        <f t="shared" si="69"/>
        <v>259.456</v>
      </c>
      <c r="AB135" s="10">
        <f t="shared" si="78"/>
        <v>0.4899153180050316</v>
      </c>
      <c r="AC135" s="59">
        <f t="shared" si="60"/>
        <v>2.8942990645657765E-11</v>
      </c>
      <c r="AD135" s="39">
        <f t="shared" si="64"/>
        <v>3.0201325662636995E-10</v>
      </c>
      <c r="AE135" s="39">
        <f t="shared" si="74"/>
        <v>3.151436846825982E-09</v>
      </c>
      <c r="AF135" s="59">
        <f t="shared" si="49"/>
        <v>3.2884497556407355E-08</v>
      </c>
      <c r="AG135" s="59">
        <f t="shared" si="55"/>
        <v>3.4314194829145944E-07</v>
      </c>
      <c r="AH135" s="39">
        <f t="shared" si="65"/>
        <v>3.5806050092535597E-06</v>
      </c>
      <c r="AI135" s="39">
        <f t="shared" si="75"/>
        <v>3.736276574789969E-05</v>
      </c>
      <c r="AJ135" s="39">
        <f t="shared" si="50"/>
        <v>0.00038987161687053547</v>
      </c>
      <c r="AK135" s="39">
        <f t="shared" si="56"/>
        <v>0.004068218040036021</v>
      </c>
      <c r="AL135" s="39">
        <f t="shared" si="66"/>
        <v>0.04245089230686527</v>
      </c>
      <c r="AM135" s="39">
        <f t="shared" si="76"/>
        <v>0.44296501316166365</v>
      </c>
      <c r="AN135" s="10"/>
      <c r="AP135" s="39"/>
    </row>
    <row r="136" spans="3:42" ht="12.75">
      <c r="C136" s="10"/>
      <c r="D136" s="39"/>
      <c r="J136" s="7" t="s">
        <v>96</v>
      </c>
      <c r="K136" s="48">
        <f t="shared" si="67"/>
        <v>132</v>
      </c>
      <c r="L136" s="48">
        <f t="shared" si="77"/>
        <v>0.3181724101826387</v>
      </c>
      <c r="M136" s="59">
        <f t="shared" si="58"/>
        <v>8.727824517260513E-07</v>
      </c>
      <c r="N136" s="52">
        <f t="shared" si="61"/>
        <v>3.0364355054571193E-06</v>
      </c>
      <c r="O136" s="52">
        <f t="shared" si="71"/>
        <v>1.0563847337405641E-05</v>
      </c>
      <c r="P136" s="53">
        <f aca="true" t="shared" si="79" ref="P136:P144">O128</f>
        <v>3.675193178562587E-05</v>
      </c>
      <c r="Q136" s="53">
        <f t="shared" si="53"/>
        <v>0.0001278610383920045</v>
      </c>
      <c r="R136" s="52">
        <f t="shared" si="62"/>
        <v>0.000444832267159238</v>
      </c>
      <c r="S136" s="52">
        <f t="shared" si="72"/>
        <v>0.001547584380625535</v>
      </c>
      <c r="T136" s="52">
        <f t="shared" si="48"/>
        <v>0.005384091020309836</v>
      </c>
      <c r="U136" s="52">
        <f t="shared" si="54"/>
        <v>0.0187314090771993</v>
      </c>
      <c r="V136" s="52">
        <f t="shared" si="63"/>
        <v>0.06516711636074708</v>
      </c>
      <c r="W136" s="52">
        <f t="shared" si="73"/>
        <v>0.22671829104112548</v>
      </c>
      <c r="X136" s="52">
        <f aca="true" t="shared" si="80" ref="X136:X144">W128</f>
        <v>0</v>
      </c>
      <c r="Y136" s="52"/>
      <c r="Z136" s="7" t="s">
        <v>96</v>
      </c>
      <c r="AA136" s="95">
        <f t="shared" si="69"/>
        <v>264</v>
      </c>
      <c r="AB136" s="48">
        <f t="shared" si="78"/>
        <v>0.3142594257607412</v>
      </c>
      <c r="AC136" s="59">
        <f t="shared" si="60"/>
        <v>1.8565673057827324E-11</v>
      </c>
      <c r="AD136" s="52">
        <f t="shared" si="64"/>
        <v>1.9372840389236356E-10</v>
      </c>
      <c r="AE136" s="52">
        <f t="shared" si="74"/>
        <v>2.0215100394035926E-09</v>
      </c>
      <c r="AF136" s="53">
        <f aca="true" t="shared" si="81" ref="AF136:AF144">AE128</f>
        <v>2.1093978772880387E-08</v>
      </c>
      <c r="AG136" s="53">
        <f t="shared" si="55"/>
        <v>2.2011067558289447E-07</v>
      </c>
      <c r="AH136" s="52">
        <f t="shared" si="65"/>
        <v>2.296802799851426E-06</v>
      </c>
      <c r="AI136" s="52">
        <f t="shared" si="75"/>
        <v>2.3966593566783412E-05</v>
      </c>
      <c r="AJ136" s="52">
        <f t="shared" si="50"/>
        <v>0.0002500857310137989</v>
      </c>
      <c r="AK136" s="52">
        <f t="shared" si="56"/>
        <v>0.002609585408223708</v>
      </c>
      <c r="AL136" s="52">
        <f t="shared" si="66"/>
        <v>0.027230406049989102</v>
      </c>
      <c r="AM136" s="52">
        <f t="shared" si="76"/>
        <v>0.28414284173668947</v>
      </c>
      <c r="AN136" s="52">
        <f aca="true" t="shared" si="82" ref="AN136:AN144">AM128</f>
        <v>0</v>
      </c>
      <c r="AP136" s="39"/>
    </row>
    <row r="137" spans="3:42" ht="12.75">
      <c r="C137" s="10"/>
      <c r="D137" s="39"/>
      <c r="J137">
        <v>12</v>
      </c>
      <c r="K137" s="10">
        <f t="shared" si="67"/>
        <v>132.42666666666668</v>
      </c>
      <c r="L137" s="10">
        <f aca="true" t="shared" si="83" ref="L137:L144">SUM(M137:X137)</f>
        <v>0.8019007071181983</v>
      </c>
      <c r="M137" s="59">
        <f t="shared" si="58"/>
        <v>8.349378778226178E-07</v>
      </c>
      <c r="N137" s="39">
        <f t="shared" si="61"/>
        <v>2.9047731333940456E-06</v>
      </c>
      <c r="O137" s="39">
        <f t="shared" si="71"/>
        <v>1.0105790119969183E-05</v>
      </c>
      <c r="P137" s="59">
        <f t="shared" si="79"/>
        <v>3.5158337418777195E-05</v>
      </c>
      <c r="Q137" s="59">
        <f t="shared" si="53"/>
        <v>0.00012231687729295136</v>
      </c>
      <c r="R137" s="39">
        <f t="shared" si="62"/>
        <v>0.0004255439696277671</v>
      </c>
      <c r="S137" s="39">
        <f t="shared" si="72"/>
        <v>0.0014804798331537635</v>
      </c>
      <c r="T137" s="39">
        <f t="shared" si="48"/>
        <v>0.0051506323501475755</v>
      </c>
      <c r="U137" s="39">
        <f t="shared" si="54"/>
        <v>0.01791919958130996</v>
      </c>
      <c r="V137" s="39">
        <f t="shared" si="63"/>
        <v>0.062341415928399306</v>
      </c>
      <c r="W137" s="39">
        <f t="shared" si="73"/>
        <v>0.2168875971453114</v>
      </c>
      <c r="X137" s="83">
        <f t="shared" si="80"/>
        <v>0.4975245175944056</v>
      </c>
      <c r="Y137" s="83"/>
      <c r="Z137">
        <v>12</v>
      </c>
      <c r="AA137" s="10">
        <f t="shared" si="69"/>
        <v>264.4266666666667</v>
      </c>
      <c r="AB137" s="10">
        <f aca="true" t="shared" si="84" ref="AB137:AB144">SUM(AC137:AN137)</f>
        <v>2.2031874279085106</v>
      </c>
      <c r="AC137" s="59">
        <f t="shared" si="60"/>
        <v>1.7807556906715556E-11</v>
      </c>
      <c r="AD137" s="39">
        <f t="shared" si="64"/>
        <v>1.858176413004313E-10</v>
      </c>
      <c r="AE137" s="39">
        <f t="shared" si="74"/>
        <v>1.9389631042220356E-09</v>
      </c>
      <c r="AF137" s="59">
        <f t="shared" si="81"/>
        <v>2.0232621042992578E-08</v>
      </c>
      <c r="AG137" s="59">
        <f t="shared" si="55"/>
        <v>2.1112261155355604E-07</v>
      </c>
      <c r="AH137" s="39">
        <f t="shared" si="65"/>
        <v>2.2030144791661176E-06</v>
      </c>
      <c r="AI137" s="39">
        <f t="shared" si="75"/>
        <v>2.2987934639982533E-05</v>
      </c>
      <c r="AJ137" s="39">
        <f t="shared" si="50"/>
        <v>0.00023987365675968433</v>
      </c>
      <c r="AK137" s="39">
        <f t="shared" si="56"/>
        <v>0.0025030248305641855</v>
      </c>
      <c r="AL137" s="39">
        <f t="shared" si="66"/>
        <v>0.026118471644835693</v>
      </c>
      <c r="AM137" s="39">
        <f t="shared" si="76"/>
        <v>0.2725400694120655</v>
      </c>
      <c r="AN137" s="83">
        <f t="shared" si="82"/>
        <v>1.9017605639173456</v>
      </c>
      <c r="AP137" s="39"/>
    </row>
    <row r="138" spans="3:42" ht="12.75">
      <c r="C138" s="10"/>
      <c r="D138" s="39"/>
      <c r="K138" s="10">
        <f t="shared" si="67"/>
        <v>132.85333333333332</v>
      </c>
      <c r="L138" s="10">
        <f t="shared" si="83"/>
        <v>0.9292583610339846</v>
      </c>
      <c r="M138" s="59">
        <f t="shared" si="58"/>
        <v>7.987342761581455E-07</v>
      </c>
      <c r="N138" s="39">
        <f t="shared" si="61"/>
        <v>2.7788197514235065E-06</v>
      </c>
      <c r="O138" s="39">
        <f t="shared" si="71"/>
        <v>9.667594644921076E-06</v>
      </c>
      <c r="P138" s="59">
        <f t="shared" si="79"/>
        <v>3.3633842630717054E-05</v>
      </c>
      <c r="Q138" s="59">
        <f t="shared" si="53"/>
        <v>0.0001170131156359708</v>
      </c>
      <c r="R138" s="39">
        <f t="shared" si="62"/>
        <v>0.00040709202873930305</v>
      </c>
      <c r="S138" s="39">
        <f t="shared" si="72"/>
        <v>0.001416284994740679</v>
      </c>
      <c r="T138" s="39">
        <f t="shared" si="48"/>
        <v>0.004927296642332784</v>
      </c>
      <c r="U138" s="39">
        <f t="shared" si="54"/>
        <v>0.017142208165517727</v>
      </c>
      <c r="V138" s="39">
        <f t="shared" si="63"/>
        <v>0.05963824021985808</v>
      </c>
      <c r="W138" s="39">
        <f t="shared" si="73"/>
        <v>0.2074831703231769</v>
      </c>
      <c r="X138" s="83">
        <f t="shared" si="80"/>
        <v>0.63808017655268</v>
      </c>
      <c r="Y138" s="83"/>
      <c r="AA138" s="10">
        <f t="shared" si="69"/>
        <v>264.85333333333335</v>
      </c>
      <c r="AB138" s="10">
        <f t="shared" si="84"/>
        <v>2.7175148792479042</v>
      </c>
      <c r="AC138" s="59">
        <f t="shared" si="60"/>
        <v>1.7080397893370155E-11</v>
      </c>
      <c r="AD138" s="39">
        <f t="shared" si="64"/>
        <v>1.7822990911358514E-10</v>
      </c>
      <c r="AE138" s="39">
        <f t="shared" si="74"/>
        <v>1.8597869148567553E-09</v>
      </c>
      <c r="AF138" s="59">
        <f t="shared" si="81"/>
        <v>1.9406436247847298E-08</v>
      </c>
      <c r="AG138" s="59">
        <f t="shared" si="55"/>
        <v>2.025015687728768E-07</v>
      </c>
      <c r="AH138" s="39">
        <f t="shared" si="65"/>
        <v>2.113055938337206E-06</v>
      </c>
      <c r="AI138" s="39">
        <f t="shared" si="75"/>
        <v>2.204923855948008E-05</v>
      </c>
      <c r="AJ138" s="39">
        <f t="shared" si="50"/>
        <v>0.00023007858534755</v>
      </c>
      <c r="AK138" s="39">
        <f t="shared" si="56"/>
        <v>0.0024008155788568016</v>
      </c>
      <c r="AL138" s="39">
        <f t="shared" si="66"/>
        <v>0.02505194229604075</v>
      </c>
      <c r="AM138" s="39">
        <f t="shared" si="76"/>
        <v>0.2614110881032356</v>
      </c>
      <c r="AN138" s="83">
        <f t="shared" si="82"/>
        <v>2.4283965684268236</v>
      </c>
      <c r="AP138" s="39"/>
    </row>
    <row r="139" spans="3:42" ht="12.75">
      <c r="C139" s="10"/>
      <c r="D139" s="39"/>
      <c r="J139" s="7" t="s">
        <v>76</v>
      </c>
      <c r="K139" s="10">
        <f>K136+C27</f>
        <v>133.14565294617552</v>
      </c>
      <c r="L139" s="39">
        <f t="shared" si="83"/>
        <v>0.9417979841791213</v>
      </c>
      <c r="M139" s="59">
        <f t="shared" si="58"/>
        <v>7.748406932061724E-07</v>
      </c>
      <c r="N139" s="39">
        <f t="shared" si="61"/>
        <v>2.6583278129810087E-06</v>
      </c>
      <c r="O139" s="39">
        <f t="shared" si="71"/>
        <v>9.248399690571798E-06</v>
      </c>
      <c r="P139" s="59">
        <f t="shared" si="79"/>
        <v>3.217545120616754E-05</v>
      </c>
      <c r="Q139" s="59">
        <f t="shared" si="53"/>
        <v>0.00011193932950106525</v>
      </c>
      <c r="R139" s="39">
        <f t="shared" si="62"/>
        <v>0.00038944017937334144</v>
      </c>
      <c r="S139" s="39">
        <f t="shared" si="72"/>
        <v>0.001354873697978483</v>
      </c>
      <c r="T139" s="39">
        <f t="shared" si="48"/>
        <v>0.004713644956788321</v>
      </c>
      <c r="U139" s="39">
        <f t="shared" si="54"/>
        <v>0.01639890774454228</v>
      </c>
      <c r="V139" s="39">
        <f t="shared" si="63"/>
        <v>0.0570522764610685</v>
      </c>
      <c r="W139" s="39">
        <f t="shared" si="73"/>
        <v>0.19848652727944444</v>
      </c>
      <c r="X139" s="83">
        <f t="shared" si="80"/>
        <v>0.663245517511022</v>
      </c>
      <c r="Y139" s="83"/>
      <c r="Z139" s="7" t="s">
        <v>76</v>
      </c>
      <c r="AA139" s="10">
        <f>AA136+D27</f>
        <v>265.2410159054494</v>
      </c>
      <c r="AB139" s="39">
        <f t="shared" si="84"/>
        <v>2.798563939761861</v>
      </c>
      <c r="AC139" s="59">
        <f t="shared" si="60"/>
        <v>1.6445458471523885E-11</v>
      </c>
      <c r="AD139" s="39">
        <f t="shared" si="64"/>
        <v>1.709520166133062E-10</v>
      </c>
      <c r="AE139" s="39">
        <f t="shared" si="74"/>
        <v>1.7838438292822302E-09</v>
      </c>
      <c r="AF139" s="59">
        <f t="shared" si="81"/>
        <v>1.861398812548789E-08</v>
      </c>
      <c r="AG139" s="59">
        <f t="shared" si="55"/>
        <v>1.9423256018729982E-07</v>
      </c>
      <c r="AH139" s="39">
        <f t="shared" si="65"/>
        <v>2.026770791008235E-06</v>
      </c>
      <c r="AI139" s="39">
        <f t="shared" si="75"/>
        <v>2.1148873470663072E-05</v>
      </c>
      <c r="AJ139" s="39">
        <f t="shared" si="50"/>
        <v>0.00022068348876076683</v>
      </c>
      <c r="AK139" s="39">
        <f t="shared" si="56"/>
        <v>0.0023027799697785314</v>
      </c>
      <c r="AL139" s="39">
        <f t="shared" si="66"/>
        <v>0.02402896392018589</v>
      </c>
      <c r="AM139" s="39">
        <f t="shared" si="76"/>
        <v>0.2507365508885877</v>
      </c>
      <c r="AN139" s="83">
        <f t="shared" si="82"/>
        <v>2.5212515710324968</v>
      </c>
      <c r="AP139" s="39"/>
    </row>
    <row r="140" spans="3:42" ht="12.75">
      <c r="C140" s="10"/>
      <c r="D140" s="39"/>
      <c r="K140" s="10">
        <f>K132+C$11</f>
        <v>135.424</v>
      </c>
      <c r="L140" s="10">
        <f t="shared" si="83"/>
        <v>0.7754794034873058</v>
      </c>
      <c r="M140" s="59">
        <f t="shared" si="58"/>
        <v>6.115190263403518E-07</v>
      </c>
      <c r="N140" s="39">
        <f t="shared" si="61"/>
        <v>2.127492458367203E-06</v>
      </c>
      <c r="O140" s="39">
        <f t="shared" si="71"/>
        <v>7.401608070147217E-06</v>
      </c>
      <c r="P140" s="59">
        <f t="shared" si="79"/>
        <v>2.5750409506087608E-05</v>
      </c>
      <c r="Q140" s="59">
        <f t="shared" si="53"/>
        <v>8.958642276745386E-05</v>
      </c>
      <c r="R140" s="39">
        <f t="shared" si="62"/>
        <v>0.00031167376745490675</v>
      </c>
      <c r="S140" s="39">
        <f t="shared" si="72"/>
        <v>0.0010843220916599192</v>
      </c>
      <c r="T140" s="39">
        <f t="shared" si="48"/>
        <v>0.003772388058394585</v>
      </c>
      <c r="U140" s="39">
        <f t="shared" si="54"/>
        <v>0.013124247649822278</v>
      </c>
      <c r="V140" s="39">
        <f t="shared" si="63"/>
        <v>0.045659638856763926</v>
      </c>
      <c r="W140" s="39">
        <f t="shared" si="73"/>
        <v>0.1588512100774277</v>
      </c>
      <c r="X140" s="83">
        <f t="shared" si="80"/>
        <v>0.5525504455339542</v>
      </c>
      <c r="Y140" s="83"/>
      <c r="AA140" s="10">
        <f>AA132+D$11</f>
        <v>269.824</v>
      </c>
      <c r="AB140" s="10">
        <f t="shared" si="84"/>
        <v>1.8561754560579216</v>
      </c>
      <c r="AC140" s="59">
        <f t="shared" si="60"/>
        <v>1.0508940185183172E-11</v>
      </c>
      <c r="AD140" s="39">
        <f t="shared" si="64"/>
        <v>1.0965830338251724E-10</v>
      </c>
      <c r="AE140" s="39">
        <f t="shared" si="74"/>
        <v>1.144258439845958E-09</v>
      </c>
      <c r="AF140" s="59">
        <f t="shared" si="81"/>
        <v>1.1940065975591698E-08</v>
      </c>
      <c r="AG140" s="59">
        <f t="shared" si="55"/>
        <v>1.2459176226017167E-07</v>
      </c>
      <c r="AH140" s="39">
        <f t="shared" si="65"/>
        <v>1.3000855485076897E-06</v>
      </c>
      <c r="AI140" s="39">
        <f t="shared" si="75"/>
        <v>1.3566084970441562E-05</v>
      </c>
      <c r="AJ140" s="39">
        <f t="shared" si="50"/>
        <v>0.00014155888559525174</v>
      </c>
      <c r="AK140" s="39">
        <f t="shared" si="56"/>
        <v>0.001477133464417428</v>
      </c>
      <c r="AL140" s="39">
        <f t="shared" si="66"/>
        <v>0.015413538065992115</v>
      </c>
      <c r="AM140" s="39">
        <f t="shared" si="76"/>
        <v>0.16083662135803473</v>
      </c>
      <c r="AN140" s="83">
        <f t="shared" si="82"/>
        <v>1.6782916003171091</v>
      </c>
      <c r="AP140" s="39"/>
    </row>
    <row r="141" spans="3:42" ht="12.75">
      <c r="C141" s="10"/>
      <c r="D141" s="39"/>
      <c r="K141" s="10">
        <f>K133+C$11</f>
        <v>137.56799999999998</v>
      </c>
      <c r="L141" s="10">
        <f t="shared" si="83"/>
        <v>0.6207034139299772</v>
      </c>
      <c r="M141" s="59">
        <f t="shared" si="58"/>
        <v>4.894062012721566E-07</v>
      </c>
      <c r="N141" s="39">
        <f t="shared" si="61"/>
        <v>1.702658392357444E-06</v>
      </c>
      <c r="O141" s="39">
        <f t="shared" si="71"/>
        <v>5.923598012304495E-06</v>
      </c>
      <c r="P141" s="59">
        <f t="shared" si="79"/>
        <v>2.060836957599852E-05</v>
      </c>
      <c r="Q141" s="59">
        <f t="shared" si="53"/>
        <v>7.169711646515267E-05</v>
      </c>
      <c r="R141" s="39">
        <f t="shared" si="62"/>
        <v>0.00024943635111263274</v>
      </c>
      <c r="S141" s="39">
        <f t="shared" si="72"/>
        <v>0.0008677963120961062</v>
      </c>
      <c r="T141" s="39">
        <f t="shared" si="48"/>
        <v>0.0030190885808282037</v>
      </c>
      <c r="U141" s="39">
        <f t="shared" si="54"/>
        <v>0.01050349688266225</v>
      </c>
      <c r="V141" s="39">
        <f t="shared" si="63"/>
        <v>0.03654197080028415</v>
      </c>
      <c r="W141" s="39">
        <f t="shared" si="73"/>
        <v>0.12713057802425579</v>
      </c>
      <c r="X141" s="83">
        <f t="shared" si="80"/>
        <v>0.442290625830091</v>
      </c>
      <c r="Y141" s="83"/>
      <c r="AA141" s="10">
        <f>AA133+D$11</f>
        <v>274.368</v>
      </c>
      <c r="AB141" s="10">
        <f t="shared" si="84"/>
        <v>1.1906563448440297</v>
      </c>
      <c r="AC141" s="59">
        <f t="shared" si="60"/>
        <v>6.741029289302047E-12</v>
      </c>
      <c r="AD141" s="39">
        <f t="shared" si="64"/>
        <v>7.034104504267229E-11</v>
      </c>
      <c r="AE141" s="39">
        <f t="shared" si="74"/>
        <v>7.339921554038439E-10</v>
      </c>
      <c r="AF141" s="59">
        <f t="shared" si="81"/>
        <v>7.659034406832484E-09</v>
      </c>
      <c r="AG141" s="59">
        <f t="shared" si="55"/>
        <v>7.992021115371258E-08</v>
      </c>
      <c r="AH141" s="39">
        <f t="shared" si="65"/>
        <v>8.339484863987639E-07</v>
      </c>
      <c r="AI141" s="39">
        <f t="shared" si="75"/>
        <v>8.702055061255706E-06</v>
      </c>
      <c r="AJ141" s="39">
        <f t="shared" si="50"/>
        <v>9.080388480124507E-05</v>
      </c>
      <c r="AK141" s="39">
        <f t="shared" si="56"/>
        <v>0.000947517044762066</v>
      </c>
      <c r="AL141" s="39">
        <f t="shared" si="66"/>
        <v>0.009887116086274853</v>
      </c>
      <c r="AM141" s="39">
        <f t="shared" si="76"/>
        <v>0.10316971609521032</v>
      </c>
      <c r="AN141" s="83">
        <f t="shared" si="82"/>
        <v>1.0765515673391137</v>
      </c>
      <c r="AP141" s="39"/>
    </row>
    <row r="142" spans="3:42" ht="12.75">
      <c r="C142" s="10"/>
      <c r="D142" s="39"/>
      <c r="K142" s="10">
        <f>K134+C$11</f>
        <v>139.712</v>
      </c>
      <c r="L142" s="10">
        <f t="shared" si="83"/>
        <v>0.4967568573247467</v>
      </c>
      <c r="M142" s="59">
        <f t="shared" si="58"/>
        <v>3.9167780482161815E-07</v>
      </c>
      <c r="N142" s="39">
        <f t="shared" si="61"/>
        <v>1.3626584619200837E-06</v>
      </c>
      <c r="O142" s="39">
        <f t="shared" si="71"/>
        <v>4.740728376702568E-06</v>
      </c>
      <c r="P142" s="59">
        <f t="shared" si="79"/>
        <v>1.6493131749246078E-05</v>
      </c>
      <c r="Q142" s="59">
        <f t="shared" si="53"/>
        <v>5.738008451081001E-05</v>
      </c>
      <c r="R142" s="39">
        <f t="shared" si="62"/>
        <v>0.00019962698100791003</v>
      </c>
      <c r="S142" s="39">
        <f t="shared" si="72"/>
        <v>0.0006945080664498639</v>
      </c>
      <c r="T142" s="39">
        <f t="shared" si="48"/>
        <v>0.0024162137398892796</v>
      </c>
      <c r="U142" s="39">
        <f t="shared" si="54"/>
        <v>0.008406077796435778</v>
      </c>
      <c r="V142" s="39">
        <f t="shared" si="63"/>
        <v>0.02924498886550019</v>
      </c>
      <c r="W142" s="39">
        <f t="shared" si="73"/>
        <v>0.10174416588267461</v>
      </c>
      <c r="X142" s="83">
        <f t="shared" si="80"/>
        <v>0.3539709077118856</v>
      </c>
      <c r="Y142" s="83"/>
      <c r="AA142" s="10">
        <f>AA134+D$11</f>
        <v>278.91200000000003</v>
      </c>
      <c r="AB142" s="10">
        <f t="shared" si="84"/>
        <v>0.7637543988897412</v>
      </c>
      <c r="AC142" s="59">
        <f t="shared" si="60"/>
        <v>4.32407788782517E-12</v>
      </c>
      <c r="AD142" s="39">
        <f t="shared" si="64"/>
        <v>4.512072925691541E-11</v>
      </c>
      <c r="AE142" s="39">
        <f t="shared" si="74"/>
        <v>4.708241297891649E-10</v>
      </c>
      <c r="AF142" s="59">
        <f t="shared" si="81"/>
        <v>4.912938351007466E-09</v>
      </c>
      <c r="AG142" s="59">
        <f t="shared" si="55"/>
        <v>5.126534880786271E-08</v>
      </c>
      <c r="AH142" s="39">
        <f t="shared" si="65"/>
        <v>5.349417803813659E-07</v>
      </c>
      <c r="AI142" s="39">
        <f t="shared" si="75"/>
        <v>5.581990858388472E-06</v>
      </c>
      <c r="AJ142" s="39">
        <f t="shared" si="50"/>
        <v>5.824675335869101E-05</v>
      </c>
      <c r="AK142" s="39">
        <f t="shared" si="56"/>
        <v>0.0006077910843816135</v>
      </c>
      <c r="AL142" s="39">
        <f t="shared" si="66"/>
        <v>0.006342156102313608</v>
      </c>
      <c r="AM142" s="39">
        <f t="shared" si="76"/>
        <v>0.06617889774911362</v>
      </c>
      <c r="AN142" s="83">
        <f t="shared" si="82"/>
        <v>0.6905611335693788</v>
      </c>
      <c r="AO142" s="10"/>
      <c r="AP142" s="39"/>
    </row>
    <row r="143" spans="3:42" ht="12.75">
      <c r="C143" s="10"/>
      <c r="D143" s="39"/>
      <c r="H143" s="59"/>
      <c r="K143" s="10">
        <f>K135+C$11</f>
        <v>141.856</v>
      </c>
      <c r="L143" s="10">
        <f t="shared" si="83"/>
        <v>0.3975606262994344</v>
      </c>
      <c r="M143" s="59">
        <f t="shared" si="58"/>
        <v>3.1346456663423005E-07</v>
      </c>
      <c r="N143" s="39">
        <f t="shared" si="61"/>
        <v>1.0905523340307264E-06</v>
      </c>
      <c r="O143" s="39">
        <f t="shared" si="71"/>
        <v>3.7940632526023822E-06</v>
      </c>
      <c r="P143" s="59">
        <f t="shared" si="79"/>
        <v>1.3199656280174643E-05</v>
      </c>
      <c r="Q143" s="59">
        <f t="shared" si="53"/>
        <v>4.592198767251637E-05</v>
      </c>
      <c r="R143" s="39">
        <f t="shared" si="62"/>
        <v>0.00015976392922913588</v>
      </c>
      <c r="S143" s="39">
        <f t="shared" si="72"/>
        <v>0.0005558233512180579</v>
      </c>
      <c r="T143" s="39">
        <f t="shared" si="48"/>
        <v>0.0019337255865570634</v>
      </c>
      <c r="U143" s="39">
        <f t="shared" si="54"/>
        <v>0.00672748749384313</v>
      </c>
      <c r="V143" s="39">
        <f t="shared" si="63"/>
        <v>0.02340512443670878</v>
      </c>
      <c r="W143" s="39">
        <f t="shared" si="73"/>
        <v>0.08142710787632955</v>
      </c>
      <c r="X143" s="83">
        <f t="shared" si="80"/>
        <v>0.2832872739014427</v>
      </c>
      <c r="Y143" s="83"/>
      <c r="AA143" s="10">
        <f>AA135+D$11</f>
        <v>283.456</v>
      </c>
      <c r="AB143" s="10">
        <f t="shared" si="84"/>
        <v>0.4899153180078053</v>
      </c>
      <c r="AC143" s="59">
        <f t="shared" si="60"/>
        <v>2.773708402313523E-12</v>
      </c>
      <c r="AD143" s="39">
        <f t="shared" si="64"/>
        <v>2.8942990645657765E-11</v>
      </c>
      <c r="AE143" s="39">
        <f t="shared" si="74"/>
        <v>3.0201325662636995E-10</v>
      </c>
      <c r="AF143" s="59">
        <f t="shared" si="81"/>
        <v>3.151436846825982E-09</v>
      </c>
      <c r="AG143" s="59">
        <f t="shared" si="55"/>
        <v>3.2884497556407355E-08</v>
      </c>
      <c r="AH143" s="39">
        <f t="shared" si="65"/>
        <v>3.4314194829145944E-07</v>
      </c>
      <c r="AI143" s="39">
        <f t="shared" si="75"/>
        <v>3.5806050092535597E-06</v>
      </c>
      <c r="AJ143" s="39">
        <f t="shared" si="50"/>
        <v>3.736276574789969E-05</v>
      </c>
      <c r="AK143" s="39">
        <f t="shared" si="56"/>
        <v>0.00038987161687053547</v>
      </c>
      <c r="AL143" s="39">
        <f t="shared" si="66"/>
        <v>0.004068218040036021</v>
      </c>
      <c r="AM143" s="39">
        <f t="shared" si="76"/>
        <v>0.04245089230686527</v>
      </c>
      <c r="AN143" s="83">
        <f t="shared" si="82"/>
        <v>0.44296501316166365</v>
      </c>
      <c r="AO143" s="10"/>
      <c r="AP143" s="39"/>
    </row>
    <row r="144" spans="3:42" ht="12.75">
      <c r="C144" s="10"/>
      <c r="D144" s="39"/>
      <c r="J144" s="7" t="s">
        <v>96</v>
      </c>
      <c r="K144" s="48">
        <f>K136+C$11</f>
        <v>144</v>
      </c>
      <c r="L144" s="48">
        <f t="shared" si="83"/>
        <v>0.31817266105218844</v>
      </c>
      <c r="M144" s="59">
        <f t="shared" si="58"/>
        <v>2.508695497308973E-07</v>
      </c>
      <c r="N144" s="52">
        <f t="shared" si="61"/>
        <v>8.727824517260513E-07</v>
      </c>
      <c r="O144" s="52">
        <f t="shared" si="71"/>
        <v>3.0364355054571193E-06</v>
      </c>
      <c r="P144" s="53">
        <f t="shared" si="79"/>
        <v>1.0563847337405641E-05</v>
      </c>
      <c r="Q144" s="53">
        <f>P136</f>
        <v>3.675193178562587E-05</v>
      </c>
      <c r="R144" s="52">
        <f t="shared" si="62"/>
        <v>0.0001278610383920045</v>
      </c>
      <c r="S144" s="52">
        <f t="shared" si="72"/>
        <v>0.000444832267159238</v>
      </c>
      <c r="T144" s="52">
        <f t="shared" si="48"/>
        <v>0.001547584380625535</v>
      </c>
      <c r="U144" s="52">
        <f t="shared" si="54"/>
        <v>0.005384091020309836</v>
      </c>
      <c r="V144" s="52">
        <f t="shared" si="63"/>
        <v>0.0187314090771993</v>
      </c>
      <c r="W144" s="52">
        <f t="shared" si="73"/>
        <v>0.06516711636074708</v>
      </c>
      <c r="X144" s="52">
        <f t="shared" si="80"/>
        <v>0.22671829104112548</v>
      </c>
      <c r="Y144" s="52"/>
      <c r="Z144" s="7" t="s">
        <v>96</v>
      </c>
      <c r="AA144" s="95">
        <f>AA136+D$11</f>
        <v>288</v>
      </c>
      <c r="AB144" s="48">
        <f t="shared" si="84"/>
        <v>0.3142594257625204</v>
      </c>
      <c r="AC144" s="59">
        <f t="shared" si="60"/>
        <v>1.779213626730976E-12</v>
      </c>
      <c r="AD144" s="52">
        <f t="shared" si="64"/>
        <v>1.8565673057827324E-11</v>
      </c>
      <c r="AE144" s="52">
        <f t="shared" si="74"/>
        <v>1.9372840389236356E-10</v>
      </c>
      <c r="AF144" s="53">
        <f t="shared" si="81"/>
        <v>2.0215100394035926E-09</v>
      </c>
      <c r="AG144" s="53">
        <f>AF136</f>
        <v>2.1093978772880387E-08</v>
      </c>
      <c r="AH144" s="52">
        <f t="shared" si="65"/>
        <v>2.2011067558289447E-07</v>
      </c>
      <c r="AI144" s="52">
        <f t="shared" si="75"/>
        <v>2.296802799851426E-06</v>
      </c>
      <c r="AJ144" s="52">
        <f t="shared" si="50"/>
        <v>2.3966593566783412E-05</v>
      </c>
      <c r="AK144" s="52">
        <f t="shared" si="56"/>
        <v>0.0002500857310137989</v>
      </c>
      <c r="AL144" s="52">
        <f t="shared" si="66"/>
        <v>0.002609585408223708</v>
      </c>
      <c r="AM144" s="52">
        <f t="shared" si="76"/>
        <v>0.027230406049989102</v>
      </c>
      <c r="AN144" s="52">
        <f t="shared" si="82"/>
        <v>0.28414284173668947</v>
      </c>
      <c r="AO144" s="10"/>
      <c r="AP144" s="39"/>
    </row>
    <row r="145" spans="3:42" ht="12.75">
      <c r="C145" s="10"/>
      <c r="D145" s="39"/>
      <c r="M145" s="59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39"/>
    </row>
    <row r="146" spans="3:42" ht="12.75">
      <c r="C146" s="10"/>
      <c r="D146" s="39"/>
      <c r="J146" s="7"/>
      <c r="M146" s="59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39"/>
    </row>
    <row r="147" spans="3:42" ht="12.75">
      <c r="C147" s="10"/>
      <c r="D147" s="39"/>
      <c r="J147" s="10"/>
      <c r="M147" s="59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39"/>
    </row>
    <row r="148" spans="3:42" ht="12.75">
      <c r="C148" s="10"/>
      <c r="D148" s="39"/>
      <c r="J148" s="10"/>
      <c r="M148" s="59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39"/>
    </row>
    <row r="149" spans="3:42" ht="12.75">
      <c r="C149" s="10"/>
      <c r="D149" s="39"/>
      <c r="J149" s="10"/>
      <c r="M149" s="59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39"/>
    </row>
    <row r="150" spans="3:42" ht="12.75">
      <c r="C150" s="10"/>
      <c r="D150" s="39"/>
      <c r="J150" s="10"/>
      <c r="M150" s="59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39"/>
    </row>
    <row r="151" spans="3:42" ht="12.75">
      <c r="C151" s="10"/>
      <c r="D151" s="39"/>
      <c r="J151" s="10"/>
      <c r="M151" s="59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39"/>
    </row>
    <row r="152" spans="3:42" ht="12.75">
      <c r="C152" s="10"/>
      <c r="D152" s="39"/>
      <c r="J152" s="10"/>
      <c r="M152" s="59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39"/>
    </row>
    <row r="153" spans="3:42" ht="12.75">
      <c r="C153" s="10"/>
      <c r="D153" s="39"/>
      <c r="J153" s="10"/>
      <c r="M153" s="59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39"/>
    </row>
    <row r="154" spans="3:42" ht="12.75">
      <c r="C154" s="10"/>
      <c r="D154" s="39"/>
      <c r="J154" s="10"/>
      <c r="M154" s="59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39"/>
    </row>
    <row r="155" spans="3:42" ht="12.75">
      <c r="C155" s="10"/>
      <c r="D155" s="39"/>
      <c r="J155" s="10"/>
      <c r="M155" s="59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39"/>
    </row>
    <row r="156" spans="3:42" ht="12.75">
      <c r="C156" s="10"/>
      <c r="D156" s="39"/>
      <c r="J156" s="10"/>
      <c r="M156" s="59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39"/>
    </row>
    <row r="157" spans="3:42" ht="12.75">
      <c r="C157" s="10"/>
      <c r="D157" s="39"/>
      <c r="J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39"/>
    </row>
    <row r="158" spans="3:42" ht="12.75">
      <c r="C158" s="10"/>
      <c r="D158" s="39"/>
      <c r="J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39"/>
    </row>
    <row r="159" spans="3:42" ht="12.75">
      <c r="C159" s="10"/>
      <c r="D159" s="39"/>
      <c r="J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39"/>
    </row>
    <row r="160" spans="3:42" ht="12.75">
      <c r="C160" s="10"/>
      <c r="D160" s="39"/>
      <c r="J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39"/>
    </row>
    <row r="161" spans="3:42" ht="12.75">
      <c r="C161" s="10"/>
      <c r="D161" s="39"/>
      <c r="J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39"/>
    </row>
    <row r="162" spans="3:42" ht="12.75">
      <c r="C162" s="10"/>
      <c r="D162" s="39"/>
      <c r="J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39"/>
    </row>
    <row r="163" spans="3:42" ht="12.75">
      <c r="C163" s="10"/>
      <c r="D163" s="39"/>
      <c r="J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39"/>
    </row>
    <row r="164" spans="3:42" ht="12.75">
      <c r="C164" s="10"/>
      <c r="D164" s="39"/>
      <c r="J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39"/>
    </row>
    <row r="165" spans="3:42" ht="12.75">
      <c r="C165" s="10"/>
      <c r="D165" s="39"/>
      <c r="J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39"/>
    </row>
    <row r="166" spans="3:42" ht="12.75">
      <c r="C166" s="10"/>
      <c r="D166" s="39"/>
      <c r="J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39"/>
    </row>
    <row r="167" spans="3:42" ht="12.75">
      <c r="C167" s="10"/>
      <c r="D167" s="39"/>
      <c r="J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39"/>
    </row>
    <row r="168" spans="3:42" ht="12.75">
      <c r="C168" s="10"/>
      <c r="D168" s="39"/>
      <c r="J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39"/>
    </row>
    <row r="169" spans="3:42" ht="12.75">
      <c r="C169" s="10"/>
      <c r="D169" s="39"/>
      <c r="J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39"/>
    </row>
    <row r="170" spans="3:42" ht="12.75">
      <c r="C170" s="10"/>
      <c r="D170" s="39"/>
      <c r="J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39"/>
    </row>
    <row r="171" spans="3:42" ht="12.75">
      <c r="C171" s="10"/>
      <c r="D171" s="39"/>
      <c r="J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39"/>
    </row>
    <row r="172" spans="3:42" ht="12.75">
      <c r="C172" s="10"/>
      <c r="D172" s="39"/>
      <c r="J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39"/>
    </row>
    <row r="173" spans="3:42" ht="12.75">
      <c r="C173" s="10"/>
      <c r="D173" s="39"/>
      <c r="J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39"/>
    </row>
    <row r="174" spans="3:42" ht="12.75">
      <c r="C174" s="10"/>
      <c r="D174" s="39"/>
      <c r="J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39"/>
    </row>
    <row r="175" spans="3:42" ht="12.75">
      <c r="C175" s="10"/>
      <c r="D175" s="39"/>
      <c r="J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39"/>
    </row>
    <row r="176" spans="3:42" ht="12.75">
      <c r="C176" s="10"/>
      <c r="D176" s="39"/>
      <c r="J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39"/>
    </row>
    <row r="177" spans="3:42" ht="12.75">
      <c r="C177" s="10"/>
      <c r="D177" s="39"/>
      <c r="J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39"/>
    </row>
    <row r="178" spans="3:42" ht="12.75">
      <c r="C178" s="10"/>
      <c r="D178" s="39"/>
      <c r="J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39"/>
    </row>
    <row r="179" spans="3:42" ht="12.75">
      <c r="C179" s="10"/>
      <c r="D179" s="39"/>
      <c r="J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39"/>
    </row>
    <row r="180" spans="3:42" ht="12.75">
      <c r="C180" s="10"/>
      <c r="D180" s="10"/>
      <c r="J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39"/>
    </row>
    <row r="181" spans="3:42" ht="12.75">
      <c r="C181" s="10"/>
      <c r="D181" s="10"/>
      <c r="J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39"/>
    </row>
    <row r="182" spans="3:42" ht="12.75">
      <c r="C182" s="10"/>
      <c r="D182" s="10"/>
      <c r="J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39"/>
    </row>
    <row r="183" spans="3:42" ht="12.75">
      <c r="C183" s="10"/>
      <c r="D183" s="10"/>
      <c r="J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39"/>
    </row>
    <row r="184" spans="3:42" ht="12.75">
      <c r="C184" s="10"/>
      <c r="D184" s="10"/>
      <c r="J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39"/>
    </row>
    <row r="185" spans="3:42" ht="12.75">
      <c r="C185" s="10"/>
      <c r="D185" s="10"/>
      <c r="J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39"/>
    </row>
    <row r="186" spans="3:42" ht="12.75">
      <c r="C186" s="10"/>
      <c r="D186" s="10"/>
      <c r="J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39"/>
    </row>
    <row r="187" spans="3:42" ht="12.75">
      <c r="C187" s="10"/>
      <c r="D187" s="10"/>
      <c r="J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39"/>
    </row>
    <row r="188" spans="3:42" ht="12.75">
      <c r="C188" s="10"/>
      <c r="D188" s="10"/>
      <c r="J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39"/>
    </row>
    <row r="189" spans="3:42" ht="12.75">
      <c r="C189" s="10"/>
      <c r="D189" s="10"/>
      <c r="J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39"/>
    </row>
    <row r="190" spans="3:42" ht="12.75">
      <c r="C190" s="10"/>
      <c r="D190" s="10"/>
      <c r="J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39"/>
    </row>
    <row r="191" spans="3:42" ht="12.75">
      <c r="C191" s="10"/>
      <c r="D191" s="10"/>
      <c r="J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39"/>
    </row>
    <row r="192" spans="3:42" ht="12.75">
      <c r="C192" s="10"/>
      <c r="D192" s="10"/>
      <c r="J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39"/>
    </row>
    <row r="193" spans="3:42" ht="12.75">
      <c r="C193" s="10"/>
      <c r="D193" s="10"/>
      <c r="J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39"/>
    </row>
    <row r="194" spans="3:42" ht="12.75">
      <c r="C194" s="10"/>
      <c r="D194" s="10"/>
      <c r="J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39"/>
    </row>
    <row r="195" spans="3:42" ht="12.75">
      <c r="C195" s="10"/>
      <c r="D195" s="10"/>
      <c r="J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39"/>
    </row>
    <row r="196" spans="3:42" ht="12.75">
      <c r="C196" s="10"/>
      <c r="D196" s="10"/>
      <c r="J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39"/>
    </row>
    <row r="197" spans="3:42" ht="12.75">
      <c r="C197" s="10"/>
      <c r="D197" s="10"/>
      <c r="J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39"/>
    </row>
    <row r="198" spans="3:42" ht="12.75">
      <c r="C198" s="10"/>
      <c r="D198" s="10"/>
      <c r="J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39"/>
    </row>
    <row r="199" spans="3:42" ht="12.75">
      <c r="C199" s="10"/>
      <c r="D199" s="10"/>
      <c r="J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39"/>
    </row>
    <row r="200" spans="3:42" ht="12.75">
      <c r="C200" s="10"/>
      <c r="D200" s="10"/>
      <c r="J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39"/>
    </row>
    <row r="201" spans="3:42" ht="12.75">
      <c r="C201" s="10"/>
      <c r="D201" s="10"/>
      <c r="J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39"/>
    </row>
    <row r="202" spans="3:42" ht="12.75">
      <c r="C202" s="10"/>
      <c r="D202" s="10"/>
      <c r="J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39"/>
    </row>
    <row r="203" spans="3:42" ht="12.75">
      <c r="C203" s="10"/>
      <c r="D203" s="10"/>
      <c r="J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39"/>
    </row>
    <row r="204" spans="3:42" ht="12.75">
      <c r="C204" s="10"/>
      <c r="D204" s="10"/>
      <c r="J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39"/>
    </row>
    <row r="205" spans="3:42" ht="12.75">
      <c r="C205" s="10"/>
      <c r="D205" s="10"/>
      <c r="J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39"/>
    </row>
    <row r="206" spans="3:42" ht="12.75">
      <c r="C206" s="10"/>
      <c r="D206" s="10"/>
      <c r="J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39"/>
    </row>
    <row r="207" spans="3:42" ht="12.75">
      <c r="C207" s="10"/>
      <c r="D207" s="10"/>
      <c r="J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39"/>
    </row>
    <row r="208" spans="3:42" ht="12.75">
      <c r="C208" s="10"/>
      <c r="D208" s="10"/>
      <c r="J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39"/>
    </row>
    <row r="209" spans="3:42" ht="12.75">
      <c r="C209" s="10"/>
      <c r="D209" s="10"/>
      <c r="J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39"/>
    </row>
    <row r="210" spans="3:42" ht="12.75">
      <c r="C210" s="10"/>
      <c r="D210" s="10"/>
      <c r="J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39"/>
    </row>
    <row r="211" spans="3:42" ht="12.75">
      <c r="C211" s="10"/>
      <c r="D211" s="10"/>
      <c r="J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39"/>
    </row>
    <row r="212" spans="3:42" ht="12.75">
      <c r="C212" s="10"/>
      <c r="D212" s="10"/>
      <c r="J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39"/>
    </row>
    <row r="213" spans="3:42" ht="12.75">
      <c r="C213" s="10"/>
      <c r="D213" s="10"/>
      <c r="J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39"/>
    </row>
    <row r="214" spans="3:42" ht="12.75">
      <c r="C214" s="10"/>
      <c r="D214" s="10"/>
      <c r="J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39"/>
    </row>
    <row r="215" spans="3:42" ht="12.75">
      <c r="C215" s="10"/>
      <c r="D215" s="10"/>
      <c r="J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39"/>
    </row>
    <row r="216" spans="3:42" ht="12.75">
      <c r="C216" s="10"/>
      <c r="D216" s="10"/>
      <c r="J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39"/>
    </row>
    <row r="217" spans="3:42" ht="12.75">
      <c r="C217" s="10"/>
      <c r="D217" s="10"/>
      <c r="J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39"/>
    </row>
    <row r="218" spans="3:42" ht="12.75">
      <c r="C218" s="10"/>
      <c r="D218" s="10"/>
      <c r="J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39"/>
    </row>
    <row r="219" spans="3:42" ht="12.75">
      <c r="C219" s="10"/>
      <c r="D219" s="10"/>
      <c r="J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39"/>
    </row>
    <row r="220" spans="3:42" ht="12.75">
      <c r="C220" s="10"/>
      <c r="D220" s="10"/>
      <c r="J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39"/>
    </row>
    <row r="221" spans="3:42" ht="12.75">
      <c r="C221" s="10"/>
      <c r="D221" s="10"/>
      <c r="J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39"/>
    </row>
    <row r="222" spans="3:42" ht="12.75">
      <c r="C222" s="10"/>
      <c r="D222" s="10"/>
      <c r="J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39"/>
    </row>
    <row r="223" spans="3:42" ht="12.75">
      <c r="C223" s="10"/>
      <c r="D223" s="10"/>
      <c r="J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39"/>
    </row>
    <row r="224" spans="3:42" ht="12.75">
      <c r="C224" s="10"/>
      <c r="D224" s="10"/>
      <c r="J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39"/>
    </row>
    <row r="225" spans="3:42" ht="12.75">
      <c r="C225" s="10"/>
      <c r="D225" s="10"/>
      <c r="J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39"/>
    </row>
    <row r="226" spans="3:42" ht="12.75">
      <c r="C226" s="10"/>
      <c r="D226" s="10"/>
      <c r="J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39"/>
    </row>
    <row r="227" spans="3:42" ht="12.75">
      <c r="C227" s="10"/>
      <c r="D227" s="10"/>
      <c r="J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39"/>
    </row>
    <row r="228" spans="3:42" ht="12.75">
      <c r="C228" s="10"/>
      <c r="D228" s="10"/>
      <c r="J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39"/>
    </row>
    <row r="229" spans="3:42" ht="12.75">
      <c r="C229" s="10"/>
      <c r="D229" s="10"/>
      <c r="J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39"/>
    </row>
    <row r="230" spans="3:42" ht="12.75">
      <c r="C230" s="10"/>
      <c r="D230" s="10"/>
      <c r="J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39"/>
    </row>
    <row r="231" spans="3:42" ht="12.75">
      <c r="C231" s="10"/>
      <c r="D231" s="10"/>
      <c r="J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39"/>
    </row>
    <row r="232" spans="3:42" ht="12.75">
      <c r="C232" s="10"/>
      <c r="D232" s="10"/>
      <c r="J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39"/>
    </row>
    <row r="233" spans="3:42" ht="12.75">
      <c r="C233" s="10"/>
      <c r="D233" s="10"/>
      <c r="J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39"/>
    </row>
    <row r="234" spans="3:42" ht="12.75">
      <c r="C234" s="10"/>
      <c r="D234" s="10"/>
      <c r="J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39"/>
    </row>
    <row r="235" spans="3:42" ht="12.75">
      <c r="C235" s="10"/>
      <c r="D235" s="10"/>
      <c r="J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39"/>
    </row>
    <row r="236" spans="3:42" ht="12.75">
      <c r="C236" s="10"/>
      <c r="D236" s="10"/>
      <c r="J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39"/>
    </row>
    <row r="237" spans="3:42" ht="12.75">
      <c r="C237" s="10"/>
      <c r="D237" s="10"/>
      <c r="J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39"/>
    </row>
    <row r="238" spans="3:42" ht="12.75">
      <c r="C238" s="10"/>
      <c r="D238" s="10"/>
      <c r="J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39"/>
    </row>
    <row r="239" spans="3:42" ht="12.75">
      <c r="C239" s="10"/>
      <c r="D239" s="10"/>
      <c r="J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39"/>
    </row>
    <row r="240" spans="3:42" ht="12.75">
      <c r="C240" s="10"/>
      <c r="D240" s="10"/>
      <c r="J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39"/>
    </row>
    <row r="241" spans="3:42" ht="12.75">
      <c r="C241" s="10"/>
      <c r="D241" s="10"/>
      <c r="J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39"/>
    </row>
    <row r="242" spans="3:42" ht="12.75">
      <c r="C242" s="10"/>
      <c r="D242" s="10"/>
      <c r="J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39"/>
    </row>
    <row r="243" spans="3:42" ht="12.75">
      <c r="C243" s="10"/>
      <c r="D243" s="10"/>
      <c r="J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39"/>
    </row>
    <row r="244" spans="3:42" ht="12.75">
      <c r="C244" s="10"/>
      <c r="D244" s="10"/>
      <c r="J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39"/>
    </row>
    <row r="245" spans="3:42" ht="12.75">
      <c r="C245" s="10"/>
      <c r="D245" s="10"/>
      <c r="J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39"/>
    </row>
    <row r="246" spans="3:42" ht="12.75">
      <c r="C246" s="10"/>
      <c r="D246" s="10"/>
      <c r="J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39"/>
    </row>
    <row r="247" spans="3:42" ht="12.75">
      <c r="C247" s="10"/>
      <c r="D247" s="10"/>
      <c r="J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39"/>
    </row>
    <row r="248" spans="3:42" ht="12.75">
      <c r="C248" s="10"/>
      <c r="D248" s="10"/>
      <c r="J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39"/>
    </row>
    <row r="249" spans="3:42" ht="12.75">
      <c r="C249" s="10"/>
      <c r="D249" s="10"/>
      <c r="J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39"/>
    </row>
    <row r="250" spans="3:42" ht="12.75">
      <c r="C250" s="10"/>
      <c r="D250" s="10"/>
      <c r="J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39"/>
    </row>
    <row r="251" spans="3:42" ht="12.75">
      <c r="C251" s="10"/>
      <c r="D251" s="10"/>
      <c r="J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39"/>
    </row>
    <row r="252" spans="3:42" ht="12.75">
      <c r="C252" s="10"/>
      <c r="D252" s="10"/>
      <c r="J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39"/>
    </row>
    <row r="253" spans="3:42" ht="12.75">
      <c r="C253" s="10"/>
      <c r="D253" s="10"/>
      <c r="J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39"/>
    </row>
    <row r="254" spans="3:42" ht="12.75">
      <c r="C254" s="10"/>
      <c r="D254" s="10"/>
      <c r="J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39"/>
    </row>
    <row r="255" spans="3:42" ht="12.75">
      <c r="C255" s="10"/>
      <c r="D255" s="10"/>
      <c r="J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39"/>
    </row>
    <row r="256" spans="3:42" ht="12.75">
      <c r="C256" s="10"/>
      <c r="D256" s="10"/>
      <c r="J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39"/>
    </row>
    <row r="257" spans="3:42" ht="12.75">
      <c r="C257" s="10"/>
      <c r="D257" s="10"/>
      <c r="J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39"/>
    </row>
    <row r="258" spans="3:42" ht="12.75">
      <c r="C258" s="10"/>
      <c r="D258" s="10"/>
      <c r="J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39"/>
    </row>
    <row r="259" spans="3:42" ht="12.75">
      <c r="C259" s="10"/>
      <c r="D259" s="10"/>
      <c r="J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39"/>
    </row>
    <row r="260" spans="3:42" ht="12.75">
      <c r="C260" s="10"/>
      <c r="D260" s="10"/>
      <c r="J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39"/>
    </row>
    <row r="261" spans="3:42" ht="12.75">
      <c r="C261" s="10"/>
      <c r="D261" s="10"/>
      <c r="J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39"/>
    </row>
    <row r="262" spans="3:42" ht="12.75">
      <c r="C262" s="10"/>
      <c r="D262" s="10"/>
      <c r="J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39"/>
    </row>
    <row r="263" spans="3:42" ht="12.75">
      <c r="C263" s="10"/>
      <c r="D263" s="10"/>
      <c r="J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39"/>
    </row>
    <row r="264" spans="3:42" ht="12.75">
      <c r="C264" s="10"/>
      <c r="D264" s="10"/>
      <c r="J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39"/>
    </row>
    <row r="265" spans="3:42" ht="12.75">
      <c r="C265" s="10"/>
      <c r="D265" s="10"/>
      <c r="J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39"/>
    </row>
    <row r="266" spans="3:42" ht="12.75">
      <c r="C266" s="10"/>
      <c r="D266" s="10"/>
      <c r="J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39"/>
    </row>
    <row r="267" spans="3:42" ht="12.75">
      <c r="C267" s="10"/>
      <c r="D267" s="10"/>
      <c r="J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39"/>
    </row>
    <row r="268" spans="3:42" ht="12.75">
      <c r="C268" s="10"/>
      <c r="D268" s="10"/>
      <c r="J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39"/>
    </row>
    <row r="269" spans="3:42" ht="12.75">
      <c r="C269" s="10"/>
      <c r="D269" s="10"/>
      <c r="J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39"/>
    </row>
    <row r="270" spans="3:42" ht="12.75">
      <c r="C270" s="10"/>
      <c r="D270" s="10"/>
      <c r="J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39"/>
    </row>
    <row r="271" spans="3:42" ht="12.75">
      <c r="C271" s="10"/>
      <c r="D271" s="10"/>
      <c r="J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39"/>
    </row>
    <row r="272" spans="3:42" ht="12.75">
      <c r="C272" s="10"/>
      <c r="D272" s="10"/>
      <c r="J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39"/>
    </row>
    <row r="273" spans="3:42" ht="12.75">
      <c r="C273" s="10"/>
      <c r="D273" s="10"/>
      <c r="J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39"/>
    </row>
    <row r="274" spans="3:42" ht="12.75">
      <c r="C274" s="10"/>
      <c r="D274" s="10"/>
      <c r="J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39"/>
    </row>
    <row r="275" spans="3:42" ht="12.75">
      <c r="C275" s="10"/>
      <c r="D275" s="10"/>
      <c r="J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39"/>
    </row>
    <row r="276" spans="3:42" ht="12.75">
      <c r="C276" s="10"/>
      <c r="D276" s="10"/>
      <c r="J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39"/>
    </row>
    <row r="277" spans="3:42" ht="12.75">
      <c r="C277" s="10"/>
      <c r="D277" s="10"/>
      <c r="J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39"/>
    </row>
    <row r="278" spans="3:42" ht="12.75">
      <c r="C278" s="10"/>
      <c r="D278" s="10"/>
      <c r="J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39"/>
    </row>
    <row r="279" spans="3:42" ht="12.75">
      <c r="C279" s="10"/>
      <c r="D279" s="10"/>
      <c r="J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39"/>
    </row>
    <row r="280" spans="3:42" ht="12.75">
      <c r="C280" s="10"/>
      <c r="D280" s="10"/>
      <c r="J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39"/>
    </row>
    <row r="281" spans="3:42" ht="12.75">
      <c r="C281" s="10"/>
      <c r="D281" s="10"/>
      <c r="J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39"/>
    </row>
    <row r="282" spans="3:42" ht="12.75">
      <c r="C282" s="10"/>
      <c r="D282" s="10"/>
      <c r="J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39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371" spans="10:16" ht="12.75">
      <c r="J371" s="7" t="s">
        <v>100</v>
      </c>
      <c r="K371" s="7" t="s">
        <v>100</v>
      </c>
      <c r="L371" s="7"/>
      <c r="M371" s="7" t="s">
        <v>100</v>
      </c>
      <c r="N371" s="7" t="s">
        <v>100</v>
      </c>
      <c r="O371" s="7" t="s">
        <v>100</v>
      </c>
      <c r="P371" s="7"/>
    </row>
  </sheetData>
  <sheetProtection/>
  <printOptions/>
  <pageMargins left="0.5" right="0.5" top="0.9840277777777777" bottom="0.9840277777777777" header="0.5118055555555555" footer="0.5118055555555555"/>
  <pageSetup horizontalDpi="300" verticalDpi="300" orientation="landscape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wmvogel</cp:lastModifiedBy>
  <dcterms:created xsi:type="dcterms:W3CDTF">2008-05-16T14:56:20Z</dcterms:created>
  <dcterms:modified xsi:type="dcterms:W3CDTF">2008-05-16T15:24:40Z</dcterms:modified>
  <cp:category/>
  <cp:version/>
  <cp:contentType/>
  <cp:contentStatus/>
</cp:coreProperties>
</file>